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o508nbE2nuYsRyfhBROjTJmvI9daqAq/9pwX+F6QL4Q5VfG7yomoz7GEeQpHT7iJw0YOGh42GbI565pl67mUQ==" workbookSaltValue="5reI1BqzbUIldqf/CcT0K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S32" i="20"/>
  <c r="AQ32" i="21"/>
  <c r="AJ32" i="20"/>
  <c r="L32" i="20"/>
  <c r="H32" i="20"/>
  <c r="F32" i="20"/>
  <c r="G26" i="14"/>
  <c r="K32" i="20"/>
  <c r="O17" i="11"/>
  <c r="E23" i="12" l="1"/>
  <c r="BF17" i="8"/>
  <c r="T31" i="8"/>
  <c r="H28" i="2"/>
  <c r="BH11" i="16"/>
  <c r="BG9" i="11"/>
  <c r="BV13" i="16"/>
  <c r="BV20" i="16"/>
  <c r="BF12" i="11"/>
  <c r="BF22" i="11"/>
  <c r="BM13" i="11"/>
  <c r="BL11" i="11"/>
  <c r="BL21" i="11"/>
  <c r="T18" i="16"/>
  <c r="BG21" i="11"/>
  <c r="BV28" i="16"/>
  <c r="BW13" i="20"/>
  <c r="BU29" i="17"/>
  <c r="BW11" i="20"/>
  <c r="BW28" i="20"/>
  <c r="S11" i="17"/>
  <c r="S25" i="17"/>
  <c r="P16" i="17"/>
  <c r="BH25" i="16"/>
  <c r="BJ10" i="11"/>
  <c r="BF16" i="11"/>
  <c r="BI22" i="11"/>
  <c r="L10" i="2"/>
  <c r="L18" i="2"/>
  <c r="X16" i="16"/>
  <c r="X23" i="16" s="1"/>
  <c r="BJ21" i="11"/>
  <c r="BI16" i="11"/>
  <c r="R18" i="20"/>
  <c r="R23" i="20" s="1"/>
  <c r="BK18" i="11"/>
  <c r="AP18" i="20"/>
  <c r="BU25" i="17"/>
  <c r="BV21" i="16"/>
  <c r="BV11" i="16"/>
  <c r="S21" i="17"/>
  <c r="BU13" i="17"/>
  <c r="AZ11" i="11"/>
  <c r="BK20" i="11"/>
  <c r="Q16" i="17"/>
  <c r="BL22" i="11"/>
  <c r="BK10" i="11"/>
  <c r="X21" i="20"/>
  <c r="L16" i="2"/>
  <c r="L9" i="2"/>
  <c r="V25" i="16"/>
  <c r="R13" i="17"/>
  <c r="P13" i="14"/>
  <c r="BG17" i="13"/>
  <c r="BK19"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<sst xmlns="http://schemas.openxmlformats.org/spreadsheetml/2006/main" count="2682" uniqueCount="1193">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</sst>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WwoFIgxzC2tX+eQX9hS717YM0Vk/ZHvfemm68jLuTtnMM6Ltb1zSf4rOLJhCikac0Wep4JQgJR2dxlEoo2iDw==" saltValue="T2NBp6WINApWSuLRkmW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91</v>
      </c>
      <c r="D10" s="239">
        <f>IF(ISNUMBER(Datos!I10),Datos!I10," - ")</f>
        <v>91</v>
      </c>
      <c r="E10" s="240">
        <f>IF(ISNUMBER(Datos!J10),Datos!J10," - ")</f>
        <v>26</v>
      </c>
      <c r="F10" s="240">
        <f>IF(ISNUMBER(Datos!K10),Datos!K10," - ")</f>
        <v>27</v>
      </c>
      <c r="G10" s="1390" t="str">
        <f>IF(Datos!E10&lt;&gt;"",Datos!E10,Datos!D10)</f>
        <v>37</v>
      </c>
      <c r="H10" s="241">
        <f>IF(ISNUMBER(Datos!L10),Datos!L10," - ")</f>
        <v>90</v>
      </c>
      <c r="I10" s="1400" t="str">
        <f>IF(ISNUMBER(Datos!AS10/Datos!BM10),Datos!AS10/Datos!BM10," - ")</f>
        <v xml:space="preserve"> - </v>
      </c>
      <c r="J10" s="1401">
        <f>IF(ISNUMBER(Datos!BY10/Datos!CN10),Datos!BY10/Datos!CN10," - ")</f>
        <v>0</v>
      </c>
      <c r="K10" s="244">
        <f t="shared" ref="K10:K13" si="1">IF(ISNUMBER((E10-F10)/C10),(E10-F10)/C10," - ")</f>
        <v>-1.098901098901099E-2</v>
      </c>
      <c r="L10" s="1402">
        <f>IF(ISNUMBER(NºAsuntos!I10/NºAsuntos!G10),(NºAsuntos!I10/NºAsuntos!G10)*11," - ")</f>
        <v>36.666666666666671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27.307109004739338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91</v>
      </c>
      <c r="D14" s="1407">
        <f>SUBTOTAL(9,D9:D13)</f>
        <v>91</v>
      </c>
      <c r="E14" s="1408">
        <f>SUBTOTAL(9,E9:E13)</f>
        <v>26</v>
      </c>
      <c r="F14" s="1409">
        <f>SUBTOTAL(9,F9:F13)</f>
        <v>27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2203</v>
      </c>
      <c r="D17" s="239">
        <f>IF(ISNUMBER(IF(D_I="SI",Datos!I17,Datos!I17+Datos!AC17)),IF(D_I="SI",Datos!I17,Datos!I17+Datos!AC17)," - ")</f>
        <v>2331</v>
      </c>
      <c r="E17" s="240">
        <f>IF(ISNUMBER(IF(D_I="SI",Datos!J17,Datos!J17+Datos!AD17)),IF(D_I="SI",Datos!J17,Datos!J17+Datos!AD17)," - ")</f>
        <v>2455</v>
      </c>
      <c r="F17" s="240">
        <f>IF(ISNUMBER(IF(D_I="SI",Datos!K17,Datos!K17+Datos!AE17)),IF(D_I="SI",Datos!K17,Datos!K17+Datos!AE17)," - ")</f>
        <v>2458</v>
      </c>
      <c r="G17" s="1390" t="str">
        <f>IF(Datos!E17&lt;&gt;"",Datos!E17,Datos!D17)</f>
        <v>04</v>
      </c>
      <c r="H17" s="241">
        <f>IF(ISNUMBER(IF(D_I="SI",Datos!L17,Datos!L17+Datos!AF17)),IF(D_I="SI",Datos!L17,Datos!L17+Datos!AF17)," - ")</f>
        <v>2200</v>
      </c>
      <c r="I17" s="1400" t="str">
        <f>IF(ISNUMBER(Datos!AS17/Datos!BM17),Datos!AS17/Datos!BM17," - ")</f>
        <v xml:space="preserve"> - </v>
      </c>
      <c r="J17" s="1401">
        <f>IF(ISNUMBER(Datos!BY17/Datos!CN17),Datos!BY17/Datos!CN17," - ")</f>
        <v>0</v>
      </c>
      <c r="K17" s="244">
        <f t="shared" si="3"/>
        <v>-1.3617793917385383E-3</v>
      </c>
      <c r="L17" s="1402">
        <f>IF(ISNUMBER(NºAsuntos!I17/NºAsuntos!G17),(NºAsuntos!I17/NºAsuntos!G17)*11," - ")</f>
        <v>9.8454027664768109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295</v>
      </c>
      <c r="D18" s="239">
        <f>IF(ISNUMBER(IF(D_I="SI",Datos!I18,Datos!I18+Datos!AC18)),IF(D_I="SI",Datos!I18,Datos!I18+Datos!AC18)," - ")</f>
        <v>295</v>
      </c>
      <c r="E18" s="240">
        <f>IF(ISNUMBER(IF(D_I="SI",Datos!J18,Datos!J18+Datos!AD18)),IF(D_I="SI",Datos!J18,Datos!J18+Datos!AD18)," - ")</f>
        <v>171</v>
      </c>
      <c r="F18" s="240">
        <f>IF(ISNUMBER(IF(D_I="SI",Datos!K18,Datos!K18+Datos!AE18)),IF(D_I="SI",Datos!K18,Datos!K18+Datos!AE18)," - ")</f>
        <v>164</v>
      </c>
      <c r="G18" s="1390" t="str">
        <f>IF(Datos!E18&lt;&gt;"",Datos!E18,Datos!D18)</f>
        <v>37</v>
      </c>
      <c r="H18" s="241">
        <f>IF(ISNUMBER(IF(D_I="SI",Datos!L18,Datos!L18+Datos!AF18)),IF(D_I="SI",Datos!L18,Datos!L18+Datos!AF18)," - ")</f>
        <v>302</v>
      </c>
      <c r="I18" s="1400" t="str">
        <f>IF(ISNUMBER(Datos!AS18/Datos!BM18),Datos!AS18/Datos!BM18," - ")</f>
        <v xml:space="preserve"> - </v>
      </c>
      <c r="J18" s="1401" t="str">
        <f>IF(ISNUMBER((Datos!BY18+Datos!BZ18)/Datos!CN18),(Datos!BY18+Datos!BZ18)/Datos!CN18," - ")</f>
        <v xml:space="preserve"> - </v>
      </c>
      <c r="K18" s="244">
        <f t="shared" si="3"/>
        <v>2.3728813559322035E-2</v>
      </c>
      <c r="L18" s="1402">
        <f>IF(ISNUMBER(NºAsuntos!I18/NºAsuntos!G18),(NºAsuntos!I18/NºAsuntos!G18)*11," - ")</f>
        <v>20.256097560975611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2498</v>
      </c>
      <c r="D23" s="1407">
        <f>SUBTOTAL(9,D16:D22)</f>
        <v>2626</v>
      </c>
      <c r="E23" s="1408">
        <f>SUBTOTAL(9,E16:E22)</f>
        <v>2626</v>
      </c>
      <c r="F23" s="1408">
        <f>SUBTOTAL(9,F16:F22)</f>
        <v>2622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2589</v>
      </c>
      <c r="D31" s="1435">
        <f>SUBTOTAL(9,D9:D30)</f>
        <v>2717</v>
      </c>
      <c r="E31" s="1436">
        <f>SUBTOTAL(9,E9:E30)</f>
        <v>2652</v>
      </c>
      <c r="F31" s="1436">
        <f>SUBTOTAL(9,F9:F30)</f>
        <v>2649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pbWyBcLeHw+3QSbWsZ+Pc/bPOwVlj/jqIREiBEYUJcRpo8ip0H20b3kFjmjIlBOSVwjsXYkn65jm4Mcl382tQ==" saltValue="sIEH8BcJ9hgoZx+TN3Lu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GTWhZcpghG/cBaVSpwc0KIQJA0S+jKxt1TxeQldB/GIMhMfPdYO18n770ha46eQsbaD8ual9swt8Vy+510Q8g==" saltValue="0yt8AWhD/vUPOp/JUgHG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91</v>
      </c>
      <c r="J10" s="194">
        <v>26</v>
      </c>
      <c r="K10" s="194">
        <v>27</v>
      </c>
      <c r="L10" s="194">
        <v>90</v>
      </c>
      <c r="M10" s="194">
        <v>11</v>
      </c>
      <c r="N10" s="194">
        <v>7</v>
      </c>
      <c r="O10" s="194">
        <v>9</v>
      </c>
      <c r="P10" s="194">
        <v>7</v>
      </c>
      <c r="Q10" s="194">
        <v>13</v>
      </c>
      <c r="R10" s="194">
        <v>84</v>
      </c>
      <c r="S10" s="194">
        <v>95</v>
      </c>
      <c r="T10" s="194">
        <v>25</v>
      </c>
      <c r="U10" s="194">
        <v>38</v>
      </c>
      <c r="V10" s="194">
        <v>82</v>
      </c>
      <c r="W10" s="194">
        <v>13</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95</v>
      </c>
      <c r="AZ10" s="139">
        <f t="shared" si="0"/>
        <v>25</v>
      </c>
      <c r="BA10" s="139">
        <f t="shared" si="0"/>
        <v>38</v>
      </c>
      <c r="BB10" s="139">
        <f t="shared" si="0"/>
        <v>82</v>
      </c>
      <c r="BC10" s="135">
        <f t="shared" si="0"/>
        <v>13</v>
      </c>
      <c r="BD10" s="136">
        <f>IF(ISNUMBER(BA10/AZ10),BA10/AZ10," - ")</f>
        <v>1.52</v>
      </c>
      <c r="BE10" s="137">
        <f>IF(ISNUMBER(BB10/BA10),BB10/BA10, " - ")</f>
        <v>2.1578947368421053</v>
      </c>
      <c r="BF10" s="137">
        <f>IF(ISNUMBER(BC10/BA10),BC10/BA10, " - ")</f>
        <v>0.34210526315789475</v>
      </c>
      <c r="BG10" s="209">
        <f>IF(ISNUMBER((AY10+AZ10)/BA10),(AY10+AZ10)/BA10," - ")</f>
        <v>3.1578947368421053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5127</v>
      </c>
      <c r="J12" s="196">
        <v>2147</v>
      </c>
      <c r="K12" s="196">
        <v>2047</v>
      </c>
      <c r="L12" s="196">
        <v>5133</v>
      </c>
      <c r="M12" s="196">
        <v>490</v>
      </c>
      <c r="N12" s="196">
        <v>845</v>
      </c>
      <c r="O12" s="194">
        <v>1021</v>
      </c>
      <c r="P12" s="196">
        <v>467</v>
      </c>
      <c r="Q12" s="196">
        <v>921</v>
      </c>
      <c r="R12" s="196">
        <v>7086</v>
      </c>
      <c r="S12" s="196">
        <v>4708</v>
      </c>
      <c r="T12" s="196">
        <v>1789</v>
      </c>
      <c r="U12" s="196">
        <v>1934</v>
      </c>
      <c r="V12" s="196">
        <v>4588</v>
      </c>
      <c r="W12" s="196">
        <v>521</v>
      </c>
      <c r="X12" s="202">
        <v>707</v>
      </c>
      <c r="Y12" s="204">
        <v>119</v>
      </c>
      <c r="Z12" s="194">
        <v>73</v>
      </c>
      <c r="AA12" s="194">
        <v>63</v>
      </c>
      <c r="AB12" s="194">
        <v>105</v>
      </c>
      <c r="AC12" s="196">
        <v>0</v>
      </c>
      <c r="AD12" s="196">
        <v>0</v>
      </c>
      <c r="AE12" s="196">
        <v>0</v>
      </c>
      <c r="AF12" s="202">
        <v>0</v>
      </c>
      <c r="AG12" s="215">
        <v>122</v>
      </c>
      <c r="AH12" s="196">
        <v>59</v>
      </c>
      <c r="AI12" s="196">
        <v>46</v>
      </c>
      <c r="AJ12" s="216">
        <v>135</v>
      </c>
      <c r="AK12" s="195">
        <v>0</v>
      </c>
      <c r="AL12" s="196">
        <v>0</v>
      </c>
      <c r="AM12" s="196">
        <v>0</v>
      </c>
      <c r="AN12" s="202">
        <v>0</v>
      </c>
      <c r="AO12" s="283">
        <v>9</v>
      </c>
      <c r="AP12" s="168">
        <v>9</v>
      </c>
      <c r="AQ12" s="168">
        <v>9</v>
      </c>
      <c r="AR12" s="167">
        <v>9</v>
      </c>
      <c r="AS12" s="381" t="s">
        <v>1075</v>
      </c>
      <c r="AT12" s="216"/>
      <c r="AU12" s="215"/>
      <c r="AV12" s="216"/>
      <c r="AW12" s="215"/>
      <c r="AX12" s="216"/>
      <c r="AY12" s="136">
        <f t="shared" si="1"/>
        <v>4830</v>
      </c>
      <c r="AZ12" s="137">
        <f t="shared" si="1"/>
        <v>1848</v>
      </c>
      <c r="BA12" s="137">
        <f t="shared" si="1"/>
        <v>1980</v>
      </c>
      <c r="BB12" s="137">
        <f t="shared" si="1"/>
        <v>4723</v>
      </c>
      <c r="BC12" s="135">
        <f>IF(ISNUMBER(X12),X12," - ")</f>
        <v>707</v>
      </c>
      <c r="BD12" s="136">
        <f t="shared" si="2"/>
        <v>1.0714285714285714</v>
      </c>
      <c r="BE12" s="137">
        <f t="shared" si="3"/>
        <v>2.3853535353535356</v>
      </c>
      <c r="BF12" s="137">
        <f t="shared" si="4"/>
        <v>0.35707070707070709</v>
      </c>
      <c r="BG12" s="209">
        <f t="shared" si="5"/>
        <v>3.3727272727272726</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5218</v>
      </c>
      <c r="J14" s="197">
        <f t="shared" si="7"/>
        <v>2173</v>
      </c>
      <c r="K14" s="197">
        <f t="shared" si="7"/>
        <v>2074</v>
      </c>
      <c r="L14" s="197">
        <f t="shared" si="7"/>
        <v>5223</v>
      </c>
      <c r="M14" s="197">
        <f t="shared" si="7"/>
        <v>501</v>
      </c>
      <c r="N14" s="197">
        <f t="shared" si="7"/>
        <v>852</v>
      </c>
      <c r="O14" s="197">
        <f t="shared" si="7"/>
        <v>1030</v>
      </c>
      <c r="P14" s="197">
        <f t="shared" si="7"/>
        <v>474</v>
      </c>
      <c r="Q14" s="197">
        <f t="shared" si="7"/>
        <v>934</v>
      </c>
      <c r="R14" s="197">
        <f t="shared" si="7"/>
        <v>7170</v>
      </c>
      <c r="S14" s="197">
        <f t="shared" si="7"/>
        <v>4803</v>
      </c>
      <c r="T14" s="197">
        <f t="shared" si="7"/>
        <v>1814</v>
      </c>
      <c r="U14" s="197">
        <f t="shared" si="7"/>
        <v>1972</v>
      </c>
      <c r="V14" s="197">
        <f t="shared" si="7"/>
        <v>4670</v>
      </c>
      <c r="W14" s="197">
        <f t="shared" si="7"/>
        <v>534</v>
      </c>
      <c r="X14" s="197">
        <f t="shared" si="7"/>
        <v>723</v>
      </c>
      <c r="Y14" s="197">
        <f t="shared" si="7"/>
        <v>119</v>
      </c>
      <c r="Z14" s="197">
        <f t="shared" si="7"/>
        <v>73</v>
      </c>
      <c r="AA14" s="197">
        <f t="shared" si="7"/>
        <v>63</v>
      </c>
      <c r="AB14" s="197">
        <f t="shared" si="7"/>
        <v>105</v>
      </c>
      <c r="AC14" s="197">
        <f t="shared" si="7"/>
        <v>0</v>
      </c>
      <c r="AD14" s="197">
        <f t="shared" si="7"/>
        <v>0</v>
      </c>
      <c r="AE14" s="197">
        <f t="shared" si="7"/>
        <v>0</v>
      </c>
      <c r="AF14" s="197">
        <f>SUBTOTAL(9,AF9:AF13)</f>
        <v>0</v>
      </c>
      <c r="AG14" s="197">
        <f t="shared" ref="AG14:AT14" si="8">SUBTOTAL(9,AG8:AG13)</f>
        <v>122</v>
      </c>
      <c r="AH14" s="197">
        <f t="shared" si="8"/>
        <v>59</v>
      </c>
      <c r="AI14" s="197">
        <f t="shared" si="8"/>
        <v>46</v>
      </c>
      <c r="AJ14" s="197">
        <f t="shared" si="8"/>
        <v>135</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4925</v>
      </c>
      <c r="AZ14" s="197">
        <f>SUBTOTAL(9,AZ8:AZ13)</f>
        <v>1873</v>
      </c>
      <c r="BA14" s="197">
        <f>SUBTOTAL(9,BA8:BA13)</f>
        <v>2018</v>
      </c>
      <c r="BB14" s="197">
        <f>SUBTOTAL(9,BB8:BB13)</f>
        <v>4805</v>
      </c>
      <c r="BC14" s="197">
        <f>SUBTOTAL(9,BC8:BC13)</f>
        <v>720</v>
      </c>
      <c r="BD14" s="219">
        <f>IF(ISNUMBER(BA14/AZ14),BA14/AZ14," - ")</f>
        <v>1.0774159103043246</v>
      </c>
      <c r="BE14" s="220">
        <f>IF(ISNUMBER(BB14/BA14),BB14/BA14, " - ")</f>
        <v>2.3810703666997028</v>
      </c>
      <c r="BF14" s="220">
        <f>IF(ISNUMBER(BC14/BA14),BC14/BA14, " - ")</f>
        <v>0.35678889990089196</v>
      </c>
      <c r="BG14" s="221">
        <f>IF(ISNUMBER((AY14+AZ14)/BA14),(AY14+AZ14)/BA14," - ")</f>
        <v>3.3686818632309219</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2331</v>
      </c>
      <c r="J17" s="196">
        <v>2455</v>
      </c>
      <c r="K17" s="196">
        <v>2458</v>
      </c>
      <c r="L17" s="196">
        <v>2200</v>
      </c>
      <c r="M17" s="196">
        <v>333</v>
      </c>
      <c r="N17" s="196">
        <v>1664</v>
      </c>
      <c r="O17" s="194">
        <v>26</v>
      </c>
      <c r="P17" s="196">
        <v>137</v>
      </c>
      <c r="Q17" s="196">
        <v>55</v>
      </c>
      <c r="R17" s="196">
        <v>395</v>
      </c>
      <c r="S17" s="196">
        <v>2245</v>
      </c>
      <c r="T17" s="196">
        <v>2155</v>
      </c>
      <c r="U17" s="196">
        <v>2101</v>
      </c>
      <c r="V17" s="196">
        <v>2177</v>
      </c>
      <c r="W17" s="196">
        <v>308</v>
      </c>
      <c r="X17" s="202">
        <v>1314</v>
      </c>
      <c r="Y17" s="215">
        <v>0</v>
      </c>
      <c r="Z17" s="196">
        <v>0</v>
      </c>
      <c r="AA17" s="196">
        <v>0</v>
      </c>
      <c r="AB17" s="196">
        <v>0</v>
      </c>
      <c r="AC17" s="196">
        <v>8</v>
      </c>
      <c r="AD17" s="196">
        <v>118</v>
      </c>
      <c r="AE17" s="196">
        <v>120</v>
      </c>
      <c r="AF17" s="202">
        <v>6</v>
      </c>
      <c r="AG17" s="215">
        <v>0</v>
      </c>
      <c r="AH17" s="196">
        <v>0</v>
      </c>
      <c r="AI17" s="196">
        <v>0</v>
      </c>
      <c r="AJ17" s="216">
        <v>0</v>
      </c>
      <c r="AK17" s="195">
        <v>23</v>
      </c>
      <c r="AL17" s="196">
        <v>68</v>
      </c>
      <c r="AM17" s="196">
        <v>79</v>
      </c>
      <c r="AN17" s="202">
        <v>12</v>
      </c>
      <c r="AO17" s="283">
        <v>9</v>
      </c>
      <c r="AP17" s="168">
        <v>9</v>
      </c>
      <c r="AQ17" s="168">
        <v>9</v>
      </c>
      <c r="AR17" s="168">
        <v>9</v>
      </c>
      <c r="AS17" s="381" t="s">
        <v>650</v>
      </c>
      <c r="AT17" s="216"/>
      <c r="AU17" s="215"/>
      <c r="AV17" s="216"/>
      <c r="AW17" s="215"/>
      <c r="AX17" s="216"/>
      <c r="AY17" s="136">
        <f t="shared" si="10"/>
        <v>2245</v>
      </c>
      <c r="AZ17" s="137">
        <f t="shared" si="10"/>
        <v>2155</v>
      </c>
      <c r="BA17" s="137">
        <f t="shared" si="10"/>
        <v>2101</v>
      </c>
      <c r="BB17" s="137">
        <f t="shared" si="10"/>
        <v>2177</v>
      </c>
      <c r="BC17" s="135">
        <f>IF(ISNUMBER(W17),W17," - ")</f>
        <v>308</v>
      </c>
      <c r="BD17" s="136">
        <f t="shared" ref="BD17:BD22" si="12">IF(ISNUMBER(BA17/AZ17),BA17/AZ17," - ")</f>
        <v>0.97494199535962878</v>
      </c>
      <c r="BE17" s="137">
        <f t="shared" ref="BE17:BE22" si="13">IF(ISNUMBER(BB17/BA17),BB17/BA17, " - ")</f>
        <v>1.0361732508329367</v>
      </c>
      <c r="BF17" s="137">
        <f t="shared" ref="BF17:BF22" si="14">IF(ISNUMBER(BC17/BA17),BC17/BA17, " - ")</f>
        <v>0.14659685863874344</v>
      </c>
      <c r="BG17" s="209">
        <f t="shared" si="11"/>
        <v>2.0942408376963351</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295</v>
      </c>
      <c r="J18" s="196">
        <v>171</v>
      </c>
      <c r="K18" s="196">
        <v>164</v>
      </c>
      <c r="L18" s="196">
        <v>302</v>
      </c>
      <c r="M18" s="196">
        <v>10</v>
      </c>
      <c r="N18" s="196">
        <v>97</v>
      </c>
      <c r="O18" s="196">
        <v>0</v>
      </c>
      <c r="P18" s="196">
        <v>1</v>
      </c>
      <c r="Q18" s="196">
        <v>4</v>
      </c>
      <c r="R18" s="196">
        <v>3</v>
      </c>
      <c r="S18" s="196">
        <v>215</v>
      </c>
      <c r="T18" s="196">
        <v>170</v>
      </c>
      <c r="U18" s="196">
        <v>176</v>
      </c>
      <c r="V18" s="196">
        <v>209</v>
      </c>
      <c r="W18" s="196">
        <v>9</v>
      </c>
      <c r="X18" s="202">
        <v>98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215</v>
      </c>
      <c r="AZ18" s="139">
        <f t="shared" si="15"/>
        <v>170</v>
      </c>
      <c r="BA18" s="139">
        <f t="shared" si="15"/>
        <v>176</v>
      </c>
      <c r="BB18" s="139">
        <f t="shared" si="15"/>
        <v>209</v>
      </c>
      <c r="BC18" s="135">
        <f>IF(ISNUMBER(W18),W18," - ")</f>
        <v>9</v>
      </c>
      <c r="BD18" s="136">
        <f>IF(ISNUMBER(BA18/AZ18),BA18/AZ18," - ")</f>
        <v>1.0352941176470589</v>
      </c>
      <c r="BE18" s="137">
        <f>IF(ISNUMBER(BB18/BA18),BB18/BA18, " - ")</f>
        <v>1.1875</v>
      </c>
      <c r="BF18" s="137">
        <f>IF(ISNUMBER(BC18/BA18),BC18/BA18, " - ")</f>
        <v>5.113636363636364E-2</v>
      </c>
      <c r="BG18" s="209">
        <f>IF(ISNUMBER((AY18+AZ18)/BA18),(AY18+AZ18)/BA18," - ")</f>
        <v>2.1875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2626</v>
      </c>
      <c r="J23" s="197">
        <f t="shared" si="21"/>
        <v>2626</v>
      </c>
      <c r="K23" s="197">
        <f t="shared" si="21"/>
        <v>2622</v>
      </c>
      <c r="L23" s="197">
        <f t="shared" si="21"/>
        <v>2502</v>
      </c>
      <c r="M23" s="197">
        <f t="shared" si="21"/>
        <v>343</v>
      </c>
      <c r="N23" s="197">
        <f t="shared" si="21"/>
        <v>1761</v>
      </c>
      <c r="O23" s="197">
        <f t="shared" si="21"/>
        <v>26</v>
      </c>
      <c r="P23" s="197">
        <f t="shared" si="21"/>
        <v>138</v>
      </c>
      <c r="Q23" s="197">
        <f t="shared" si="21"/>
        <v>59</v>
      </c>
      <c r="R23" s="197">
        <f t="shared" si="21"/>
        <v>398</v>
      </c>
      <c r="S23" s="197">
        <f t="shared" si="21"/>
        <v>2460</v>
      </c>
      <c r="T23" s="197">
        <f t="shared" si="21"/>
        <v>2325</v>
      </c>
      <c r="U23" s="197">
        <f t="shared" si="21"/>
        <v>2277</v>
      </c>
      <c r="V23" s="197">
        <f t="shared" si="21"/>
        <v>2386</v>
      </c>
      <c r="W23" s="197">
        <f t="shared" si="21"/>
        <v>317</v>
      </c>
      <c r="X23" s="197">
        <f t="shared" si="21"/>
        <v>1412</v>
      </c>
      <c r="Y23" s="197">
        <f t="shared" si="21"/>
        <v>0</v>
      </c>
      <c r="Z23" s="197">
        <f t="shared" si="21"/>
        <v>0</v>
      </c>
      <c r="AA23" s="197">
        <f t="shared" si="21"/>
        <v>0</v>
      </c>
      <c r="AB23" s="197">
        <f t="shared" si="21"/>
        <v>0</v>
      </c>
      <c r="AC23" s="197">
        <f t="shared" si="21"/>
        <v>8</v>
      </c>
      <c r="AD23" s="197">
        <f t="shared" si="21"/>
        <v>118</v>
      </c>
      <c r="AE23" s="197">
        <f t="shared" si="21"/>
        <v>120</v>
      </c>
      <c r="AF23" s="197">
        <f t="shared" si="21"/>
        <v>6</v>
      </c>
      <c r="AG23" s="197">
        <f t="shared" si="21"/>
        <v>0</v>
      </c>
      <c r="AH23" s="197">
        <f t="shared" si="21"/>
        <v>0</v>
      </c>
      <c r="AI23" s="197">
        <f t="shared" si="21"/>
        <v>0</v>
      </c>
      <c r="AJ23" s="197">
        <f t="shared" si="21"/>
        <v>0</v>
      </c>
      <c r="AK23" s="197">
        <f t="shared" si="21"/>
        <v>23</v>
      </c>
      <c r="AL23" s="197">
        <f t="shared" si="21"/>
        <v>68</v>
      </c>
      <c r="AM23" s="197">
        <f t="shared" si="21"/>
        <v>79</v>
      </c>
      <c r="AN23" s="197">
        <f t="shared" si="21"/>
        <v>12</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2460</v>
      </c>
      <c r="AZ23" s="197">
        <f>SUBTOTAL(9,AZ15:AZ22)</f>
        <v>2325</v>
      </c>
      <c r="BA23" s="197">
        <f>SUBTOTAL(9,BA15:BA22)</f>
        <v>2277</v>
      </c>
      <c r="BB23" s="197">
        <f>SUBTOTAL(9,BB15:BB22)</f>
        <v>2386</v>
      </c>
      <c r="BC23" s="197">
        <f>SUBTOTAL(9,BC15:BC22)</f>
        <v>317</v>
      </c>
      <c r="BD23" s="219">
        <f>IF(ISNUMBER(BA23/AZ23),BA23/AZ23," - ")</f>
        <v>0.97935483870967743</v>
      </c>
      <c r="BE23" s="220">
        <f>IF(ISNUMBER(BB23/BA23),BB23/BA23, " - ")</f>
        <v>1.0478700043917435</v>
      </c>
      <c r="BF23" s="220">
        <f>IF(ISNUMBER(BC23/BA23),BC23/BA23, " - ")</f>
        <v>0.13921826965305226</v>
      </c>
      <c r="BG23" s="221">
        <f>IF(ISNUMBER((AY23+AZ23)/BA23),(AY23+AZ23)/BA23," - ")</f>
        <v>2.1014492753623188</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7844</v>
      </c>
      <c r="J31" s="144">
        <f t="shared" si="36"/>
        <v>4799</v>
      </c>
      <c r="K31" s="144">
        <f t="shared" si="36"/>
        <v>4696</v>
      </c>
      <c r="L31" s="144">
        <f t="shared" si="36"/>
        <v>7725</v>
      </c>
      <c r="M31" s="144">
        <f t="shared" si="36"/>
        <v>844</v>
      </c>
      <c r="N31" s="144">
        <f t="shared" si="36"/>
        <v>2613</v>
      </c>
      <c r="O31" s="144">
        <f t="shared" si="36"/>
        <v>1056</v>
      </c>
      <c r="P31" s="144">
        <f t="shared" si="36"/>
        <v>612</v>
      </c>
      <c r="Q31" s="144">
        <f t="shared" si="36"/>
        <v>993</v>
      </c>
      <c r="R31" s="144">
        <f t="shared" si="36"/>
        <v>7568</v>
      </c>
      <c r="S31" s="144">
        <f t="shared" si="36"/>
        <v>7263</v>
      </c>
      <c r="T31" s="144">
        <f t="shared" si="36"/>
        <v>4139</v>
      </c>
      <c r="U31" s="144">
        <f t="shared" si="36"/>
        <v>4249</v>
      </c>
      <c r="V31" s="144">
        <f t="shared" si="36"/>
        <v>7056</v>
      </c>
      <c r="W31" s="144">
        <f t="shared" si="36"/>
        <v>851</v>
      </c>
      <c r="X31" s="144">
        <f t="shared" si="36"/>
        <v>2135</v>
      </c>
      <c r="Y31" s="144">
        <f t="shared" si="36"/>
        <v>119</v>
      </c>
      <c r="Z31" s="144">
        <f t="shared" si="36"/>
        <v>73</v>
      </c>
      <c r="AA31" s="144">
        <f t="shared" si="36"/>
        <v>63</v>
      </c>
      <c r="AB31" s="144">
        <f t="shared" si="36"/>
        <v>105</v>
      </c>
      <c r="AC31" s="144">
        <f t="shared" si="36"/>
        <v>8</v>
      </c>
      <c r="AD31" s="144">
        <f t="shared" si="36"/>
        <v>118</v>
      </c>
      <c r="AE31" s="144">
        <f t="shared" si="36"/>
        <v>120</v>
      </c>
      <c r="AF31" s="144">
        <f t="shared" si="36"/>
        <v>6</v>
      </c>
      <c r="AG31" s="144">
        <f t="shared" si="36"/>
        <v>122</v>
      </c>
      <c r="AH31" s="144">
        <f t="shared" si="36"/>
        <v>59</v>
      </c>
      <c r="AI31" s="144">
        <f t="shared" si="36"/>
        <v>46</v>
      </c>
      <c r="AJ31" s="144">
        <f t="shared" si="36"/>
        <v>135</v>
      </c>
      <c r="AK31" s="144">
        <f t="shared" si="36"/>
        <v>23</v>
      </c>
      <c r="AL31" s="144">
        <f t="shared" si="36"/>
        <v>68</v>
      </c>
      <c r="AM31" s="144">
        <f t="shared" si="36"/>
        <v>79</v>
      </c>
      <c r="AN31" s="224">
        <f t="shared" si="36"/>
        <v>12</v>
      </c>
      <c r="AO31" s="225">
        <v>10</v>
      </c>
      <c r="AP31" s="225">
        <v>10</v>
      </c>
      <c r="AQ31" s="225">
        <v>10</v>
      </c>
      <c r="AR31" s="225">
        <v>10</v>
      </c>
      <c r="AS31" s="166">
        <f t="shared" si="36"/>
        <v>0</v>
      </c>
      <c r="AT31" s="166">
        <f t="shared" si="36"/>
        <v>0</v>
      </c>
      <c r="AU31" s="225"/>
      <c r="AV31" s="226"/>
      <c r="AW31" s="225"/>
      <c r="AX31" s="226"/>
      <c r="AY31" s="143">
        <f>SUBTOTAL(9,AY9:AY30)</f>
        <v>7385</v>
      </c>
      <c r="AZ31" s="144">
        <f>SUBTOTAL(9,AZ9:AZ30)</f>
        <v>4198</v>
      </c>
      <c r="BA31" s="144">
        <f>SUBTOTAL(9,BA9:BA30)</f>
        <v>4295</v>
      </c>
      <c r="BB31" s="144">
        <f>SUBTOTAL(9,BB9:BB30)</f>
        <v>7191</v>
      </c>
      <c r="BC31" s="145">
        <f>SUBTOTAL(9,BC9:BC30)</f>
        <v>1037</v>
      </c>
      <c r="BD31" s="227">
        <f>IF(ISNUMBER(BA31/AZ31),BA31/AZ31," - ")</f>
        <v>1.0231062410671747</v>
      </c>
      <c r="BE31" s="224">
        <f>IF(ISNUMBER(BB31/BA31),BB31/BA31, " - ")</f>
        <v>1.6742724097788126</v>
      </c>
      <c r="BF31" s="224">
        <f>IF(ISNUMBER(BC31/BA31),BC31/BA31, " - ")</f>
        <v>0.24144353899883586</v>
      </c>
      <c r="BG31" s="145">
        <f>IF(ISNUMBER((AY31+AZ31)/BA31),(AY31+AZ31)/BA31," - ")</f>
        <v>2.6968568102444701</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xVChnPA2B5EcXozm/IX83m6h2iPKKNBCKTk/4vLyaYplH0+A66ct34L0unrpWIuraXy49Zt/5voxPrR0ToEQg==" saltValue="59Sj2bRnsO02rZ7SwUA+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OPTtPA+WrwpawM+szEtSAlNsA00W5S9/uqLaY/iiwYsN8lJ+e3jxDPqlAwXl6CUXoFtYnO1kQwzfz+tQNhypg==" saltValue="WVtUpC5vdqHXhx3voNMr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GAVA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91</v>
      </c>
      <c r="G10" s="543">
        <f>IF(ISNUMBER(Datos!I10),Datos!I10," - ")</f>
        <v>91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27</v>
      </c>
      <c r="AC10" s="547">
        <f>IF(ISNUMBER(Datos!Q10),Datos!Q10," - ")</f>
        <v>13</v>
      </c>
      <c r="AD10" s="549"/>
      <c r="AE10" s="563"/>
      <c r="AF10" s="551">
        <f>IF(ISNUMBER(Datos!L10),Datos!L10,"-")</f>
        <v>90</v>
      </c>
      <c r="AG10" s="549"/>
      <c r="AH10" s="549"/>
      <c r="AI10" s="549"/>
      <c r="AJ10" s="549"/>
      <c r="AK10" s="549"/>
      <c r="AL10" s="550"/>
      <c r="AM10" s="766">
        <f>IF(ISNUMBER(Datos!R10),Datos!R10," - ")</f>
        <v>84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7</v>
      </c>
      <c r="BE10" s="693" t="str">
        <f>IF(ISNUMBER(Datos!BW10),Datos!BW10," - ")</f>
        <v xml:space="preserve"> - </v>
      </c>
      <c r="BF10" s="762" t="str">
        <f>IF(ISNUMBER(Datos!BX10),Datos!BX10," - ")</f>
        <v xml:space="preserve"> - </v>
      </c>
      <c r="BG10" s="763">
        <f>IF(ISNUMBER(Datos!K10/Datos!J10),Datos!K10/Datos!J10," - ")</f>
        <v>1.0384615384615385</v>
      </c>
      <c r="BH10" s="764">
        <f>IF(ISNUMBER(((Datos!L10/Datos!K10)*11)/factor_trimestre),((Datos!L10/Datos!K10)*11)/factor_trimestre," - ")</f>
        <v>10.000000000000002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-6.6666666666666666E-2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467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105</v>
      </c>
      <c r="AI12" s="549" t="str">
        <f>IF(ISNUMBER(Datos!CD12),Datos!CD12,"-")</f>
        <v>-</v>
      </c>
      <c r="AJ12" s="549" t="str">
        <f>IF(ISNUMBER(Datos!EN12),Datos!EN12," - ")</f>
        <v xml:space="preserve"> - </v>
      </c>
      <c r="AK12" s="549"/>
      <c r="AL12" s="550"/>
      <c r="AM12" s="766">
        <f>IF(ISNUMBER(Datos!R12),Datos!R12," - ")</f>
        <v>7086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490</v>
      </c>
      <c r="BD12" s="693">
        <f>IF(ISNUMBER(Datos!N12),Datos!N12," - ")</f>
        <v>845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0.9504504504504504</v>
      </c>
      <c r="BH12" s="764">
        <f>IF(ISNUMBER(((IF(J_V="SI",Datos!L12/Datos!K12,(Datos!L12+Datos!AB12)/(Datos!K12+Datos!AA12)))*11)/factor_trimestre),((IF(J_V="SI",Datos!L12/Datos!K12,(Datos!L12+Datos!AB12)/(Datos!K12+Datos!AA12)))*11)/factor_trimestre," - ")</f>
        <v>7.447393364928911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-6.0212201591511937E-2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91</v>
      </c>
      <c r="G14" s="1197">
        <f t="shared" si="1"/>
        <v>91</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474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27</v>
      </c>
      <c r="AC14" s="1198">
        <f t="shared" si="2"/>
        <v>934</v>
      </c>
      <c r="AD14" s="1198">
        <f t="shared" si="2"/>
        <v>0</v>
      </c>
      <c r="AE14" s="1198">
        <f t="shared" si="2"/>
        <v>0</v>
      </c>
      <c r="AF14" s="1198">
        <f t="shared" si="2"/>
        <v>90</v>
      </c>
      <c r="AG14" s="1198">
        <f t="shared" si="2"/>
        <v>0</v>
      </c>
      <c r="AH14" s="1198">
        <f t="shared" si="2"/>
        <v>105</v>
      </c>
      <c r="AI14" s="1198">
        <f t="shared" si="2"/>
        <v>0</v>
      </c>
      <c r="AJ14" s="1198">
        <f t="shared" si="2"/>
        <v>0</v>
      </c>
      <c r="AK14" s="1198">
        <f t="shared" si="2"/>
        <v>0</v>
      </c>
      <c r="AL14" s="1198">
        <f t="shared" si="2"/>
        <v>0</v>
      </c>
      <c r="AM14" s="1198">
        <f t="shared" si="2"/>
        <v>7170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501</v>
      </c>
      <c r="BD14" s="1198">
        <f t="shared" si="2"/>
        <v>852</v>
      </c>
      <c r="BE14" s="1198">
        <f t="shared" si="2"/>
        <v>0</v>
      </c>
      <c r="BF14" s="1198">
        <f t="shared" si="2"/>
        <v>0</v>
      </c>
      <c r="BG14" s="1198">
        <f>IF(ISNUMBER(Datos!K14/Datos!J14),Datos!K14/Datos!J14," - ")</f>
        <v>0.95444086516336857</v>
      </c>
      <c r="BH14" s="1202">
        <f>IF(ISNUMBER(((Datos!L14/Datos!K14)*11)/factor_trimestre),((Datos!L14/Datos!K14)*11)/factor_trimestre," - ")</f>
        <v>7.5549662487945994</v>
      </c>
      <c r="BI14" s="1198">
        <f>IF(ISNUMBER('Resol  Asuntos'!D14/NºAsuntos!G14),'Resol  Asuntos'!D14/NºAsuntos!G14," - ")</f>
        <v>0.23444080486663546</v>
      </c>
      <c r="BJ14" s="1198" t="str">
        <f>IF(ISNUMBER(Datos!CI14/Datos!CJ14),Datos!CI14/Datos!CJ14," - ")</f>
        <v xml:space="preserve"> - </v>
      </c>
      <c r="BK14" s="1198">
        <f>SUBTOTAL(9,BK8:BK13)</f>
        <v>0</v>
      </c>
      <c r="BL14" s="1198">
        <f>IF(ISNUMBER((I14-AB14+L14)/(F14)),(I14-AB14+L14)/(F14)," - ")</f>
        <v>-0.2967032967032967</v>
      </c>
      <c r="BM14" s="1203">
        <f>SUBTOTAL(9,BM9:BM13)</f>
        <v>-0.1268788682581786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2203</v>
      </c>
      <c r="G17" s="743">
        <f>IF(ISNUMBER(IF(D_I="SI",Datos!I17,Datos!I17+Datos!AC17)),IF(D_I="SI",Datos!I17,Datos!I17+Datos!AC17)," - ")</f>
        <v>2331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2458</v>
      </c>
      <c r="AC17" s="240">
        <f>IF(ISNUMBER(Datos!Q17),Datos!Q17," - ")</f>
        <v>55</v>
      </c>
      <c r="AD17" s="374"/>
      <c r="AE17" s="562"/>
      <c r="AF17" s="741">
        <f>IF(ISNUMBER(IF(D_I="SI",Datos!L17,Datos!L17+Datos!AF17)),IF(D_I="SI",Datos!L17,Datos!L17+Datos!AF17)," - ")</f>
        <v>2200</v>
      </c>
      <c r="AG17" s="374"/>
      <c r="AH17" s="374"/>
      <c r="AI17" s="374"/>
      <c r="AJ17" s="549"/>
      <c r="AK17" s="374"/>
      <c r="AL17" s="545"/>
      <c r="AM17" s="375">
        <f>IF(ISNUMBER(Datos!R17),Datos!R17," - ")</f>
        <v>395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333</v>
      </c>
      <c r="BD17" s="243">
        <f>IF(ISNUMBER(Datos!N17),Datos!N17," - ")</f>
        <v>1664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1.0012219959266802</v>
      </c>
      <c r="BH17" s="764">
        <f>IF(ISNUMBER(((IF(D_I="SI",Datos!L17/Datos!K17,(Datos!L17+Datos!AF17)/(Datos!K17+Datos!AE17)))*11)/factor_trimestre),((IF(D_I="SI",Datos!L17/Datos!K17,(Datos!L17+Datos!AF17)/(Datos!K17+Datos!AE17)))*11)/factor_trimestre," - ")</f>
        <v>2.6851098454027666</v>
      </c>
      <c r="BI17" s="266">
        <f>IF(ISNUMBER('Resol  Asuntos'!D17/NºAsuntos!G17),'Resol  Asuntos'!D17/NºAsuntos!G17," - ")</f>
        <v>0.1354759967453214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295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164</v>
      </c>
      <c r="AC18" s="547">
        <f>IF(ISNUMBER(Datos!Q18),Datos!Q18," - ")</f>
        <v>4</v>
      </c>
      <c r="AD18" s="549"/>
      <c r="AE18" s="562"/>
      <c r="AF18" s="551">
        <f>IF(ISNUMBER(Datos!L18),Datos!L18,"-")</f>
        <v>302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97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0.95906432748538006</v>
      </c>
      <c r="BH18" s="764">
        <f>IF(ISNUMBER(((IF(D_I="SI",Datos!L18/Datos!K18,(Datos!L18+Datos!AF18)/(Datos!K18+Datos!AE18)))*11)/factor_trimestre),((IF(D_I="SI",Datos!L18/Datos!K18,(Datos!L18+Datos!AF18)/(Datos!K18+Datos!AE18)))*11)/factor_trimestre," - ")</f>
        <v>5.5243902439024399</v>
      </c>
      <c r="BI18" s="763">
        <f>IF(ISNUMBER('Resol  Asuntos'!D18/NºAsuntos!G18),'Resol  Asuntos'!D18/NºAsuntos!G18," - ")</f>
        <v>6.097560975609756E-2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10</v>
      </c>
      <c r="F23" s="1197">
        <f>SUBTOTAL(9,F16:F22)</f>
        <v>2203</v>
      </c>
      <c r="G23" s="1197">
        <f>SUBTOTAL(9,G16:G22)</f>
        <v>2626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2622</v>
      </c>
      <c r="AC23" s="1198">
        <f t="shared" si="5"/>
        <v>59</v>
      </c>
      <c r="AD23" s="1198">
        <f t="shared" si="5"/>
        <v>0</v>
      </c>
      <c r="AE23" s="1198">
        <f t="shared" si="5"/>
        <v>0</v>
      </c>
      <c r="AF23" s="1198">
        <f t="shared" si="5"/>
        <v>2502</v>
      </c>
      <c r="AG23" s="1198">
        <f t="shared" si="5"/>
        <v>0</v>
      </c>
      <c r="AH23" s="1198">
        <f t="shared" si="5"/>
        <v>0</v>
      </c>
      <c r="AI23" s="1198">
        <f t="shared" si="5"/>
        <v>0</v>
      </c>
      <c r="AJ23" s="1198">
        <f t="shared" si="5"/>
        <v>0</v>
      </c>
      <c r="AK23" s="1198">
        <f t="shared" si="5"/>
        <v>0</v>
      </c>
      <c r="AL23" s="1198">
        <f t="shared" si="5"/>
        <v>0</v>
      </c>
      <c r="AM23" s="1198">
        <f t="shared" si="5"/>
        <v>398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343</v>
      </c>
      <c r="BD23" s="1198">
        <f t="shared" si="5"/>
        <v>1761</v>
      </c>
      <c r="BE23" s="1198">
        <f t="shared" si="5"/>
        <v>0</v>
      </c>
      <c r="BF23" s="1198">
        <f t="shared" si="5"/>
        <v>0</v>
      </c>
      <c r="BG23" s="1198">
        <f>IF(ISNUMBER(Datos!K23/Datos!J23),Datos!K23/Datos!J23," - ")</f>
        <v>0.99847677075399843</v>
      </c>
      <c r="BH23" s="1202">
        <f>IF(ISNUMBER(((Datos!L23/Datos!K23)*11)/factor_trimestre),((Datos!L23/Datos!K23)*11)/factor_trimestre," - ")</f>
        <v>2.8627002288329519</v>
      </c>
      <c r="BI23" s="1198">
        <f>SUBTOTAL(9,BI16:BI22)</f>
        <v>0.19645160650141896</v>
      </c>
      <c r="BJ23" s="1198">
        <f>SUBTOTAL(9,BJ16:BJ22)</f>
        <v>0</v>
      </c>
      <c r="BK23" s="1198">
        <f>SUBTOTAL(9,BK16:BK22)</f>
        <v>0</v>
      </c>
      <c r="BL23" s="1198">
        <f>IF(ISNUMBER((I23-AB23+L23)/(F23)),(I23-AB23+L23)/(F23)," - ")</f>
        <v>-1.1901951883794826</v>
      </c>
      <c r="BM23" s="1205">
        <f>IF(ISNUMBER((Datos!P23-Datos!Q23)/(Datos!R23-Datos!P23+Datos!Q23)),(Datos!P23-Datos!Q23)/(Datos!R23-Datos!P23+Datos!Q23)," - ")</f>
        <v>0.2476489028213166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20</v>
      </c>
      <c r="F31" s="1117">
        <f t="shared" si="18"/>
        <v>2294</v>
      </c>
      <c r="G31" s="1117">
        <f t="shared" si="18"/>
        <v>2717</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612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2649</v>
      </c>
      <c r="AC31" s="1118">
        <f t="shared" si="19"/>
        <v>993</v>
      </c>
      <c r="AD31" s="1118">
        <f t="shared" si="19"/>
        <v>0</v>
      </c>
      <c r="AE31" s="1118">
        <f t="shared" si="19"/>
        <v>0</v>
      </c>
      <c r="AF31" s="1125">
        <f t="shared" si="19"/>
        <v>2592</v>
      </c>
      <c r="AG31" s="1125">
        <f t="shared" si="19"/>
        <v>0</v>
      </c>
      <c r="AH31" s="1125">
        <f t="shared" si="19"/>
        <v>105</v>
      </c>
      <c r="AI31" s="1125">
        <f t="shared" si="19"/>
        <v>0</v>
      </c>
      <c r="AJ31" s="1118">
        <f t="shared" si="19"/>
        <v>0</v>
      </c>
      <c r="AK31" s="1125">
        <f t="shared" si="19"/>
        <v>0</v>
      </c>
      <c r="AL31" s="1125">
        <f t="shared" si="19"/>
        <v>0</v>
      </c>
      <c r="AM31" s="1125">
        <f t="shared" si="19"/>
        <v>7568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844</v>
      </c>
      <c r="BD31" s="1117">
        <f t="shared" si="19"/>
        <v>2613</v>
      </c>
      <c r="BE31" s="1117">
        <f t="shared" si="19"/>
        <v>0</v>
      </c>
      <c r="BF31" s="1127">
        <f t="shared" si="19"/>
        <v>0</v>
      </c>
      <c r="BG31" s="1223">
        <f>IF(ISNUMBER(Datos!K31/Datos!J31),Datos!K31/Datos!J31," - ")</f>
        <v>0.97853719524901017</v>
      </c>
      <c r="BH31" s="1223">
        <f>IF(ISNUMBER(((Datos!L31/Datos!K31)*11)/factor_trimestre),((Datos!L31/Datos!K31)*11)/factor_trimestre," - ")</f>
        <v>4.9350511073253838</v>
      </c>
      <c r="BI31" s="1103">
        <f>IF(ISNUMBER(Datos!J31/Datos!I31),Datos!J31/Datos!I31," - ")</f>
        <v>0.61180520142784289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-1.1547515257192678</v>
      </c>
      <c r="BM31" s="1188">
        <f>IF(ISNUMBER((Datos!P31-Datos!Q31+R31)/(Datos!R31-Datos!P31+Datos!Q31-R31)),(Datos!P31-Datos!Q31+R31)/(Datos!R31-Datos!P31+Datos!Q31-R31)," - ")</f>
        <v>-4.7930557302805384E-2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776.28571428571433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1114.8712332223245</v>
      </c>
      <c r="G33" s="674">
        <f>IF(ISNUMBER(STDEV(G8:G30)),STDEV(G8:G30),"-")</f>
        <v>1170.0916935986561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1220.3259712840977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227.93858822059946</v>
      </c>
      <c r="BD33" s="673"/>
      <c r="BE33" s="673">
        <f>IF(ISNUMBER(STDEV(BE8:BE30)),STDEV(BE8:BE30),"-")</f>
        <v>0</v>
      </c>
      <c r="BF33" s="678">
        <f>IF(ISNUMBER(STDEV(BF8:BF30)),STDEV(BF8:BF30),"-")</f>
        <v>0</v>
      </c>
      <c r="BG33" s="1052">
        <f>IF(ISNUMBER(STDEV(BG8:BG30)),STDEV(BG8:BG30),"-")</f>
        <v>3.4907718599987113E-2</v>
      </c>
      <c r="BH33" s="1058">
        <f>IF(ISNUMBER(STDEV(BH8:BH30)),STDEV(BH8:BH30),"-")</f>
        <v>2.8833762254850845</v>
      </c>
      <c r="BI33" s="273">
        <f>IF(ISNUMBER(STDEV(BI8:BI30)),STDEV(BI8:BI30),"-")</f>
        <v>7.5800981026230577E-2</v>
      </c>
      <c r="BJ33" s="244" t="str">
        <f>IF(ISNUMBER(BL33/BM33),BL33/BM33," - ")</f>
        <v xml:space="preserve"> - </v>
      </c>
      <c r="BK33" s="709"/>
      <c r="BL33" s="681">
        <f>IF(ISNUMBER(STDEV(BL8:BL30)),STDEV(BL8:BL30),"-")</f>
        <v>0.63179417553942707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Fa8NofxhDSMXR+bauGmB5lbHikEOmp1KWLCnHyQKtO6HFtt6hpttEwWkM0q7rUV4sSukN43ORUtG2ct6wL5VQ==" saltValue="YllUbWtWpbN1NLzE61I/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GAVA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91</v>
      </c>
      <c r="G10" s="552">
        <f>IF(ISNUMBER(Datos!I10),Datos!I10," - ")</f>
        <v>91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27</v>
      </c>
      <c r="Z10" s="805">
        <f>IF(ISNUMBER(Datos!Q10),Datos!Q10," - ")</f>
        <v>13</v>
      </c>
      <c r="AA10" s="551">
        <f>IF(ISNUMBER(Datos!L10),Datos!L10,"-")</f>
        <v>90</v>
      </c>
      <c r="AB10" s="549"/>
      <c r="AC10" s="549"/>
      <c r="AD10" s="563"/>
      <c r="AE10" s="563">
        <f>IF(ISNUMBER(Datos!R10),Datos!R10," - ")</f>
        <v>84</v>
      </c>
      <c r="AF10" s="693" t="str">
        <f>IF(ISNUMBER(Datos!BV10),Datos!BV10," - ")</f>
        <v xml:space="preserve"> - </v>
      </c>
      <c r="AG10" s="552" t="str">
        <f>IF(ISNUMBER(Datos!DV10),Datos!DV10," - ")</f>
        <v xml:space="preserve"> - </v>
      </c>
      <c r="AH10" s="553"/>
      <c r="AI10" s="554"/>
      <c r="AJ10" s="552">
        <f>IF(ISNUMBER(Datos!M10),Datos!M10," - ")</f>
        <v>11</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10.000000000000002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-6.6666666666666666E-2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921</v>
      </c>
      <c r="AA12" s="551" t="str">
        <f>IF(ISNUMBER(IF(J_V="SI",Datos!L12,Datos!L12+Datos!AB12)-IF(Monitorios="SI",Datos!CD12,0)),
                          IF(J_V="SI",Datos!L12,Datos!L12+Datos!AB12)-IF(Monitorios="SI",Datos!CD12,0),
                          " - ")</f>
        <v xml:space="preserve"> - </v>
      </c>
      <c r="AB12" s="549"/>
      <c r="AC12" s="549"/>
      <c r="AD12" s="563"/>
      <c r="AE12" s="563">
        <f>IF(ISNUMBER(Datos!R12),Datos!R12," - ")</f>
        <v>7086</v>
      </c>
      <c r="AF12" s="693" t="str">
        <f>IF(ISNUMBER(Datos!BV12),Datos!BV12," - ")</f>
        <v xml:space="preserve"> - </v>
      </c>
      <c r="AG12" s="552" t="str">
        <f>IF(ISNUMBER(Datos!DV12),Datos!DV12," - ")</f>
        <v xml:space="preserve"> - </v>
      </c>
      <c r="AH12" s="553"/>
      <c r="AI12" s="554"/>
      <c r="AJ12" s="552">
        <f>IF(ISNUMBER(Datos!M12),Datos!M12," - ")</f>
        <v>490</v>
      </c>
      <c r="AK12" s="693">
        <f>IF(ISNUMBER(Datos!N12),Datos!N12," - ")</f>
        <v>845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7.447393364928911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-6.0212201591511937E-2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91</v>
      </c>
      <c r="G14" s="1197">
        <f>SUBTOTAL(9,G8:G13)</f>
        <v>91</v>
      </c>
      <c r="H14" s="1211"/>
      <c r="I14" s="1197">
        <f t="shared" ref="I14:N14" si="1">SUBTOTAL(9,I8:I13)</f>
        <v>0</v>
      </c>
      <c r="J14" s="1164">
        <f t="shared" si="1"/>
        <v>0</v>
      </c>
      <c r="K14" s="1211">
        <f t="shared" si="1"/>
        <v>0</v>
      </c>
      <c r="L14" s="1211">
        <f t="shared" si="1"/>
        <v>0</v>
      </c>
      <c r="M14" s="1211">
        <f t="shared" si="1"/>
        <v>0</v>
      </c>
      <c r="N14" s="1211">
        <f t="shared" si="1"/>
        <v>474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27</v>
      </c>
      <c r="Z14" s="1210">
        <f t="shared" si="3"/>
        <v>934</v>
      </c>
      <c r="AA14" s="1199">
        <f t="shared" si="3"/>
        <v>90</v>
      </c>
      <c r="AB14" s="1199">
        <f t="shared" si="3"/>
        <v>0</v>
      </c>
      <c r="AC14" s="1199">
        <f t="shared" si="3"/>
        <v>0</v>
      </c>
      <c r="AD14" s="1199">
        <f t="shared" si="3"/>
        <v>0</v>
      </c>
      <c r="AE14" s="1199">
        <f t="shared" si="3"/>
        <v>7170</v>
      </c>
      <c r="AF14" s="1211">
        <f t="shared" si="3"/>
        <v>0</v>
      </c>
      <c r="AG14" s="1211">
        <f t="shared" si="3"/>
        <v>0</v>
      </c>
      <c r="AH14" s="1211">
        <f t="shared" si="3"/>
        <v>0</v>
      </c>
      <c r="AI14" s="1211">
        <f t="shared" si="3"/>
        <v>0</v>
      </c>
      <c r="AJ14" s="1211">
        <f t="shared" si="3"/>
        <v>501</v>
      </c>
      <c r="AK14" s="1211">
        <f t="shared" si="3"/>
        <v>852</v>
      </c>
      <c r="AL14" s="1211">
        <f t="shared" si="3"/>
        <v>0</v>
      </c>
      <c r="AM14" s="1211">
        <f t="shared" si="3"/>
        <v>0</v>
      </c>
      <c r="AN14" s="1211">
        <f t="shared" si="3"/>
        <v>0</v>
      </c>
      <c r="AO14" s="1203">
        <f>IF(ISNUMBER(((NºAsuntos!I14/NºAsuntos!G14)*11)/factor_trimestre),((NºAsuntos!I14/NºAsuntos!G14)*11)/factor_trimestre," - ")</f>
        <v>7.4796443612540955</v>
      </c>
      <c r="AP14" s="1213" t="str">
        <f>IF(ISNUMBER(Datos!CI14/Datos!CJ14),Datos!CI14/Datos!CJ14," - ")</f>
        <v xml:space="preserve"> - </v>
      </c>
      <c r="AQ14" s="1236">
        <f t="shared" ref="AQ14:AV14" si="4">SUBTOTAL(9,AQ9:AQ13)</f>
        <v>0</v>
      </c>
      <c r="AR14" s="1236">
        <f t="shared" si="4"/>
        <v>-0.1268788682581786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2203</v>
      </c>
      <c r="G17" s="552">
        <f>IF(ISNUMBER(IF(D_I="SI",Datos!I17,Datos!I17+Datos!AC17)),IF(D_I="SI",Datos!I17,Datos!I17+Datos!AC17)," - ")</f>
        <v>2331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2458</v>
      </c>
      <c r="Z17" s="805">
        <f>IF(ISNUMBER(Datos!Q17),Datos!Q17," - ")</f>
        <v>55</v>
      </c>
      <c r="AA17" s="551">
        <f>IF(ISNUMBER(IF(D_I="SI",Datos!L17,Datos!L17+Datos!AF17)),IF(D_I="SI",Datos!L17,Datos!L17+Datos!AF17)," - ")</f>
        <v>2200</v>
      </c>
      <c r="AB17" s="549"/>
      <c r="AC17" s="549"/>
      <c r="AD17" s="563"/>
      <c r="AE17" s="563">
        <f>IF(ISNUMBER(Datos!R17),Datos!R17," - ")</f>
        <v>395</v>
      </c>
      <c r="AF17" s="693" t="str">
        <f>IF(ISNUMBER(Datos!BV17),Datos!BV17," - ")</f>
        <v xml:space="preserve"> - </v>
      </c>
      <c r="AG17" s="552"/>
      <c r="AH17" s="553"/>
      <c r="AI17" s="554"/>
      <c r="AJ17" s="552">
        <f>IF(ISNUMBER(Datos!M17),Datos!M17," - ")</f>
        <v>333</v>
      </c>
      <c r="AK17" s="693">
        <f>IF(ISNUMBER(Datos!N17),Datos!N17," - ")</f>
        <v>1664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2.6851098454027666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295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164</v>
      </c>
      <c r="Z18" s="805">
        <f>IF(ISNUMBER(Datos!Q18),Datos!Q18," - ")</f>
        <v>4</v>
      </c>
      <c r="AA18" s="551">
        <f>IF(ISNUMBER(Datos!L18),Datos!L18,"-")</f>
        <v>302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10</v>
      </c>
      <c r="AK18" s="693">
        <f>IF(ISNUMBER(Datos!N18),Datos!N18," - ")</f>
        <v>97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5.5243902439024399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10</v>
      </c>
      <c r="F23" s="1197">
        <f>SUBTOTAL(9,F16:F22)</f>
        <v>2203</v>
      </c>
      <c r="G23" s="1197">
        <f>SUBTOTAL(9,G16:G22)</f>
        <v>2626</v>
      </c>
      <c r="H23" s="1240">
        <f>SUBTOTAL(9,H16:H22)</f>
        <v>0</v>
      </c>
      <c r="I23" s="1217">
        <f>SUBTOTAL(9,I16:I22)</f>
        <v>0</v>
      </c>
      <c r="J23" s="1164">
        <f>SUBTOTAL(9,J15:J22)</f>
        <v>0</v>
      </c>
      <c r="K23" s="1240">
        <f t="shared" ref="K23:S23" si="5">SUBTOTAL(9,K16:K22)</f>
        <v>0</v>
      </c>
      <c r="L23" s="1240">
        <f t="shared" si="5"/>
        <v>0</v>
      </c>
      <c r="M23" s="1240">
        <f t="shared" si="5"/>
        <v>0</v>
      </c>
      <c r="N23" s="1240">
        <f t="shared" si="5"/>
        <v>138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2622</v>
      </c>
      <c r="Z23" s="1240">
        <f t="shared" si="6"/>
        <v>59</v>
      </c>
      <c r="AA23" s="1240">
        <f t="shared" si="6"/>
        <v>2502</v>
      </c>
      <c r="AB23" s="1240">
        <f t="shared" si="6"/>
        <v>0</v>
      </c>
      <c r="AC23" s="1240">
        <f t="shared" si="6"/>
        <v>0</v>
      </c>
      <c r="AD23" s="1240">
        <f t="shared" si="6"/>
        <v>0</v>
      </c>
      <c r="AE23" s="1240">
        <f t="shared" si="6"/>
        <v>398</v>
      </c>
      <c r="AF23" s="1240">
        <f t="shared" si="6"/>
        <v>0</v>
      </c>
      <c r="AG23" s="1240">
        <f t="shared" si="6"/>
        <v>0</v>
      </c>
      <c r="AH23" s="1240">
        <f t="shared" si="6"/>
        <v>0</v>
      </c>
      <c r="AI23" s="1240">
        <f t="shared" si="6"/>
        <v>0</v>
      </c>
      <c r="AJ23" s="1240">
        <f t="shared" si="6"/>
        <v>343</v>
      </c>
      <c r="AK23" s="1240">
        <f t="shared" si="6"/>
        <v>1761</v>
      </c>
      <c r="AL23" s="1240">
        <f t="shared" si="6"/>
        <v>0</v>
      </c>
      <c r="AM23" s="1240">
        <f t="shared" si="6"/>
        <v>0</v>
      </c>
      <c r="AN23" s="1240">
        <f t="shared" si="6"/>
        <v>0</v>
      </c>
      <c r="AO23" s="1242">
        <f>IF(ISNUMBER(((NºAsuntos!I23/NºAsuntos!G23)*11)/factor_trimestre),((NºAsuntos!I23/NºAsuntos!G23)*11)/factor_trimestre," - ")</f>
        <v>2.8627002288329519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2294</v>
      </c>
      <c r="G31" s="1117">
        <f t="shared" si="12"/>
        <v>2717</v>
      </c>
      <c r="H31" s="1118">
        <f t="shared" si="12"/>
        <v>0</v>
      </c>
      <c r="I31" s="1117">
        <f t="shared" si="12"/>
        <v>0</v>
      </c>
      <c r="J31" s="1119">
        <f t="shared" si="12"/>
        <v>0</v>
      </c>
      <c r="K31" s="1117">
        <f t="shared" si="12"/>
        <v>0</v>
      </c>
      <c r="L31" s="1120">
        <f t="shared" si="12"/>
        <v>0</v>
      </c>
      <c r="M31" s="1117">
        <f t="shared" si="12"/>
        <v>0</v>
      </c>
      <c r="N31" s="1118">
        <f t="shared" si="12"/>
        <v>612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2649</v>
      </c>
      <c r="Z31" s="1124">
        <f t="shared" si="13"/>
        <v>993</v>
      </c>
      <c r="AA31" s="1125">
        <f t="shared" si="13"/>
        <v>2592</v>
      </c>
      <c r="AB31" s="1125">
        <f t="shared" si="13"/>
        <v>0</v>
      </c>
      <c r="AC31" s="1125">
        <f t="shared" si="13"/>
        <v>0</v>
      </c>
      <c r="AD31" s="1126">
        <f t="shared" si="13"/>
        <v>0</v>
      </c>
      <c r="AE31" s="1126">
        <f t="shared" si="13"/>
        <v>7568</v>
      </c>
      <c r="AF31" s="1127">
        <f t="shared" si="13"/>
        <v>0</v>
      </c>
      <c r="AG31" s="1128">
        <f t="shared" si="13"/>
        <v>0</v>
      </c>
      <c r="AH31" s="1129">
        <f t="shared" si="13"/>
        <v>0</v>
      </c>
      <c r="AI31" s="1127">
        <f t="shared" si="13"/>
        <v>0</v>
      </c>
      <c r="AJ31" s="1117">
        <f t="shared" si="13"/>
        <v>844</v>
      </c>
      <c r="AK31" s="1117">
        <f t="shared" si="13"/>
        <v>2613</v>
      </c>
      <c r="AL31" s="1117">
        <f t="shared" si="13"/>
        <v>0</v>
      </c>
      <c r="AM31" s="1130">
        <f t="shared" si="13"/>
        <v>0</v>
      </c>
      <c r="AN31" s="1120">
        <f>IF(ISNUMBER(Datos!K31/Datos!J31),Datos!K31/Datos!J31," - ")</f>
        <v>0.97853719524901017</v>
      </c>
      <c r="AO31" s="1120">
        <f>IF(ISNUMBER(FIND("06",Criterios!A8,1)),(IF(ISNUMBER(((Datos!R31/Datos!Q31)*11)/factor_trimestre),((Datos!R31/Datos!Q31)*11)/factor_trimestre," - ")),(IF(ISNUMBER(((Datos!L31/Datos!K31)*11)/factor_trimestre),((Datos!L31/Datos!K31)*11)/factor_trimestre," - ")))</f>
        <v>4.9350511073253838</v>
      </c>
      <c r="AP31" s="1131" t="str">
        <f>IF(ISNUMBER(Datos!CI31/Datos!CJ31),Datos!CI31/Datos!CJ31," - ")</f>
        <v xml:space="preserve"> - </v>
      </c>
      <c r="AQ31" s="1131">
        <f>IF(OR(ISNUMBER(FIND("01",Criterios!A8,1)),ISNUMBER(FIND("02",Criterios!A8,1)),ISNUMBER(FIND("03",Criterios!A8,1)),ISNUMBER(FIND("04",Criterios!A8,1))),(J31-Y31+K31)/(F31-K31),(I31-Y31+K31)/(F31-K31))</f>
        <v>-1.1547515257192678</v>
      </c>
      <c r="AR31" s="1131">
        <f>IF(ISNUMBER((Datos!P31-Datos!Q31+O31)/(Datos!R31-Datos!P31+Datos!Q31-O31)),(Datos!P31-Datos!Q31+O31)/(Datos!R31-Datos!P31+Datos!Q31-O31)," - ")</f>
        <v>-4.7930557302805384E-2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776.28571428571433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1114.8712332223245</v>
      </c>
      <c r="G33" s="674">
        <f>IF(ISNUMBER(STDEV(G8:G30)),STDEV(G8:G30),"-")</f>
        <v>1170.0916935986561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227.93858822059946</v>
      </c>
      <c r="AK33" s="276"/>
      <c r="AL33" s="276">
        <f>IF(ISNUMBER(STDEV(AL8:AL30)),STDEV(AL8:AL30),"-")</f>
        <v>0</v>
      </c>
      <c r="AM33" s="278">
        <f>IF(ISNUMBER(STDEV(AM8:AM30)),STDEV(AM8:AM30),"-")</f>
        <v>0</v>
      </c>
      <c r="AN33" s="660">
        <f>IF(ISNUMBER(STDEV(AN8:AN30)),STDEV(AN8:AN30),"-")</f>
        <v>0</v>
      </c>
      <c r="AO33" s="661">
        <f>IF(ISNUMBER(STDEV(AO8:AO30)),STDEV(AO8:AO30),"-")</f>
        <v>2.8754702614763441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QR0vP525jvyGoKke69wM15cHZny8AvBrhOo+/x5aoChtgAmRDposgbg9y/kbq/KdLtRde9tldxC4ol15qEzw==" saltValue="zPfcsISvEyk5VoO9RW0b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1g1NzEbcGfG4LqliLWbDSdA0i3l9HN6EdZc9sUH0/axw+hxd032O8RXJx/cj7jCgHQ8ge7s6lTyzgjJUPo1lg==" saltValue="eX/K21ksMfeLDmVXocwS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nSsr2UOLCCYzOnq64ENQu7A39Bk5XCL8jy/1hEprMIgn+jGVzKppLOpVXucdpGJzXao4y54Ei4+CXTtBhO9DQ==" saltValue="qloZlt2rJGUwDseoVv8B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GAVA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0.23444080486663546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0.16577468290803007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BJ7V+PQJkznagg3W/tvS1qfeoxg3aZBedZr2d3ysv1ViuH6uaYGvy21RsNo6DVhmUR1BfdUxHX6PB4eu29XgQ==" saltValue="SfjfWTFhj/2ZyazAMq+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It5RoIVXO6/nuM2pI2J/hYWuj3XVuQ1GOjZhioYorhNzOtVtrfKHYy7Y1LKvIUOI2DVJ1rqLzvpIv94R1a/DA==" saltValue="lczRtE46NdQ4K4mHEkC4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GAVA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91</v>
      </c>
      <c r="D10" s="452">
        <f>IF(ISNUMBER(C10/Datos!BH10),C10/Datos!BH10," - ")</f>
        <v>91</v>
      </c>
      <c r="E10" s="451">
        <f>IF(ISNUMBER(Datos!J10),Datos!J10," - ")</f>
        <v>26</v>
      </c>
      <c r="F10" s="452">
        <f>IF(ISNUMBER(E10/B10),E10/B10," - ")</f>
        <v>26</v>
      </c>
      <c r="G10" s="451">
        <f>IF(ISNUMBER(Datos!K10),Datos!K10," - ")</f>
        <v>27</v>
      </c>
      <c r="H10" s="452">
        <f>IF(ISNUMBER(G10/B10),G10/B10," - ")</f>
        <v>27</v>
      </c>
      <c r="I10" s="451">
        <f>IF(ISNUMBER(Datos!L10),Datos!L10," - ")</f>
        <v>90</v>
      </c>
      <c r="J10" s="452">
        <f>IF(ISNUMBER(I10/B10),I10/B10," - ")</f>
        <v>90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5246</v>
      </c>
      <c r="D12" s="452">
        <f>IF(ISNUMBER(C12/Datos!BH12),C12/Datos!BH12," - ")</f>
        <v>582.88888888888891</v>
      </c>
      <c r="E12" s="451">
        <f>IF(ISNUMBER(IF(J_V="SI",Datos!J12,Datos!J12+Datos!Z12)),IF(J_V="SI",Datos!J12,Datos!J12+Datos!Z12)," - ")</f>
        <v>2220</v>
      </c>
      <c r="F12" s="452">
        <f>IF(ISNUMBER(E12/B12),E12/B12," - ")</f>
        <v>246.66666666666666</v>
      </c>
      <c r="G12" s="451">
        <f>IF(ISNUMBER(IF(J_V="SI",Datos!K12,Datos!K12+Datos!AA12)),IF(J_V="SI",Datos!K12,Datos!K12+Datos!AA12)," - ")</f>
        <v>2110</v>
      </c>
      <c r="H12" s="452">
        <f>IF(ISNUMBER(G12/B12),G12/B12," - ")</f>
        <v>234.44444444444446</v>
      </c>
      <c r="I12" s="451">
        <f>IF(ISNUMBER(IF(J_V="SI",Datos!L12,Datos!L12+Datos!AB12)),IF(J_V="SI",Datos!L12,Datos!L12+Datos!AB12)," - ")</f>
        <v>5238</v>
      </c>
      <c r="J12" s="452">
        <f>IF(ISNUMBER(I12/B12),I12/B12," - ")</f>
        <v>582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5337</v>
      </c>
      <c r="D14" s="1147" t="str">
        <f>IF(ISNUMBER(C14/Datos!BI14),C14/Datos!BI14," - ")</f>
        <v xml:space="preserve"> - </v>
      </c>
      <c r="E14" s="1146">
        <f>SUBTOTAL(9,E8:E13)</f>
        <v>2246</v>
      </c>
      <c r="F14" s="1147">
        <f>IF(ISNUMBER(E14/B14),E14/B14," - ")</f>
        <v>224.6</v>
      </c>
      <c r="G14" s="1146">
        <f>SUBTOTAL(9,G8:G13)</f>
        <v>2137</v>
      </c>
      <c r="H14" s="1147">
        <f>IF(ISNUMBER(G14/B14),G14/B14," - ")</f>
        <v>213.7</v>
      </c>
      <c r="I14" s="1146">
        <f>SUBTOTAL(9,I8:I13)</f>
        <v>5328</v>
      </c>
      <c r="J14" s="1147">
        <f>IF(ISNUMBER(I14/B14),I14/B14," - ")</f>
        <v>532.79999999999995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2331</v>
      </c>
      <c r="D17" s="452">
        <f>IF(ISNUMBER(C17/Datos!BH17),C17/Datos!BH17," - ")</f>
        <v>259</v>
      </c>
      <c r="E17" s="451">
        <f>IF(ISNUMBER(IF(D_I="SI",Datos!J17,Datos!J17+Datos!AD17)),IF(D_I="SI",Datos!J17,Datos!J17+Datos!AD17)," - ")</f>
        <v>2455</v>
      </c>
      <c r="F17" s="452">
        <f>IF(ISNUMBER(E17/B17),E17/B17," - ")</f>
        <v>272.77777777777777</v>
      </c>
      <c r="G17" s="451">
        <f>IF(ISNUMBER(IF(D_I="SI",Datos!K17,Datos!K17+Datos!AE17)),IF(D_I="SI",Datos!K17,Datos!K17+Datos!AE17)," - ")</f>
        <v>2458</v>
      </c>
      <c r="H17" s="452">
        <f>IF(ISNUMBER(G17/B17),G17/B17," - ")</f>
        <v>273.11111111111109</v>
      </c>
      <c r="I17" s="451">
        <f>IF(ISNUMBER(IF(D_I="SI",Datos!L17,Datos!L17+Datos!AF17)),IF(D_I="SI",Datos!L17,Datos!L17+Datos!AF17)," - ")</f>
        <v>2200</v>
      </c>
      <c r="J17" s="452">
        <f>IF(ISNUMBER(I17/B17),I17/B17," - ")</f>
        <v>244.44444444444446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295</v>
      </c>
      <c r="D18" s="452">
        <f>IF(ISNUMBER(C18/Datos!BH18),C18/Datos!BH18," - ")</f>
        <v>295</v>
      </c>
      <c r="E18" s="451">
        <f>IF(ISNUMBER(IF(D_I="SI",Datos!J18,Datos!J18+Datos!AD18)),IF(D_I="SI",Datos!J18,Datos!J18+Datos!AD18)," - ")</f>
        <v>171</v>
      </c>
      <c r="F18" s="452">
        <f>IF(ISNUMBER(E18/B18),E18/B18," - ")</f>
        <v>171</v>
      </c>
      <c r="G18" s="451">
        <f>IF(ISNUMBER(IF(D_I="SI",Datos!K18,Datos!K18+Datos!AE18)),IF(D_I="SI",Datos!K18,Datos!K18+Datos!AE18)," - ")</f>
        <v>164</v>
      </c>
      <c r="H18" s="452">
        <f>IF(ISNUMBER(G18/B18),G18/B18," - ")</f>
        <v>164</v>
      </c>
      <c r="I18" s="451">
        <f>IF(ISNUMBER(IF(D_I="SI",Datos!L18,Datos!L18+Datos!AF18)),IF(D_I="SI",Datos!L18,Datos!L18+Datos!AF18)," - ")</f>
        <v>302</v>
      </c>
      <c r="J18" s="452">
        <f>IF(ISNUMBER(I18/B18),I18/B18," - ")</f>
        <v>302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2626</v>
      </c>
      <c r="D23" s="1147" t="str">
        <f>IF(ISNUMBER(C23/Datos!BI23),C23/Datos!BI23," - ")</f>
        <v xml:space="preserve"> - </v>
      </c>
      <c r="E23" s="1146">
        <f>SUBTOTAL(9,E15:E22)</f>
        <v>2626</v>
      </c>
      <c r="F23" s="1147">
        <f>IF(ISNUMBER(E23/B23),E23/B23," - ")</f>
        <v>262.60000000000002</v>
      </c>
      <c r="G23" s="1146">
        <f>SUBTOTAL(9,G15:G22)</f>
        <v>2622</v>
      </c>
      <c r="H23" s="1147">
        <f>IF(ISNUMBER(G23/B23),G23/B23," - ")</f>
        <v>262.2</v>
      </c>
      <c r="I23" s="1146">
        <f>SUBTOTAL(9,I15:I22)</f>
        <v>2502</v>
      </c>
      <c r="J23" s="1147">
        <f>IF(ISNUMBER(I23/B23),I23/B23," - ")</f>
        <v>250.2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7963</v>
      </c>
      <c r="D31" s="1085" t="str">
        <f>IF(ISNUMBER(C31/Datos!BI31),C31/Datos!BI31," - ")</f>
        <v xml:space="preserve"> - </v>
      </c>
      <c r="E31" s="1084">
        <f>SUBTOTAL(9,E9:E30)</f>
        <v>4872</v>
      </c>
      <c r="F31" s="1085">
        <f>IF(ISNUMBER(E31/B31),E31/B31," - ")</f>
        <v>487.2</v>
      </c>
      <c r="G31" s="1084">
        <f>SUBTOTAL(9,G9:G30)</f>
        <v>4759</v>
      </c>
      <c r="H31" s="1085">
        <f>IF(ISNUMBER(G31/B31),G31/B31," - ")</f>
        <v>475.9</v>
      </c>
      <c r="I31" s="1084">
        <f>SUBTOTAL(9,I9:I30)</f>
        <v>7830</v>
      </c>
      <c r="J31" s="1085">
        <f>IF(ISNUMBER(I31/B31),I31/B31," - ")</f>
        <v>783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Kmj00b2+7cQqFWjn4V34Gg+q4+YAQCQ6ID2NoUrAa9y05EqaxiWYyCafX2fS1tU53NjLCKpy6h0ztTeTwFN0Q==" saltValue="StzP4Hf3fRTzcPVMk3l0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GAVA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91</v>
      </c>
      <c r="G10" s="906">
        <f>IF(ISNUMBER(Datos!I10),Datos!I10," - ")</f>
        <v>91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27</v>
      </c>
      <c r="AC10" s="905" t="str">
        <f>IF(ISNUMBER(IF(D_I="SI",DatosP!K18,DatosP!K18+DatosP!AE18)),IF(D_I="SI",DatosP!K18,DatosP!K18+DatosP!AE18)," - ")</f>
        <v xml:space="preserve"> - </v>
      </c>
      <c r="AD10" s="907"/>
      <c r="AE10" s="907"/>
      <c r="AF10" s="910">
        <f>IF(ISNUMBER(Datos!L10),Datos!L10,"-")</f>
        <v>90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10.000000000000002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7086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490</v>
      </c>
      <c r="AM12" s="914">
        <f>IF(ISNUMBER(Datos!N12+DatosP!N17),Datos!N12+DatosP!N17," - ")</f>
        <v>845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7.447393364928911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-6.0212201591511937E-2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91</v>
      </c>
      <c r="G14" s="1256">
        <f t="shared" si="0"/>
        <v>91</v>
      </c>
      <c r="H14" s="1256">
        <f t="shared" si="0"/>
        <v>0</v>
      </c>
      <c r="I14" s="1258">
        <f t="shared" si="0"/>
        <v>0</v>
      </c>
      <c r="J14" s="1257">
        <f t="shared" si="0"/>
        <v>0</v>
      </c>
      <c r="K14" s="1257">
        <f t="shared" si="0"/>
        <v>0</v>
      </c>
      <c r="L14" s="1259">
        <f t="shared" si="0"/>
        <v>0</v>
      </c>
      <c r="M14" s="1259">
        <f t="shared" si="0"/>
        <v>0</v>
      </c>
      <c r="N14" s="1257">
        <f t="shared" si="0"/>
        <v>474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27</v>
      </c>
      <c r="AC14" s="1257">
        <f t="shared" si="1"/>
        <v>0</v>
      </c>
      <c r="AD14" s="1257">
        <f t="shared" si="1"/>
        <v>921</v>
      </c>
      <c r="AE14" s="1257">
        <f t="shared" si="1"/>
        <v>0</v>
      </c>
      <c r="AF14" s="1257">
        <f t="shared" si="1"/>
        <v>90</v>
      </c>
      <c r="AG14" s="1257">
        <f t="shared" si="1"/>
        <v>0</v>
      </c>
      <c r="AH14" s="1257">
        <f t="shared" si="1"/>
        <v>7086</v>
      </c>
      <c r="AI14" s="1257">
        <f t="shared" si="1"/>
        <v>0</v>
      </c>
      <c r="AJ14" s="1257">
        <f t="shared" si="1"/>
        <v>0</v>
      </c>
      <c r="AK14" s="1257">
        <f t="shared" si="1"/>
        <v>0</v>
      </c>
      <c r="AL14" s="1257">
        <f t="shared" si="1"/>
        <v>501</v>
      </c>
      <c r="AM14" s="1257">
        <f t="shared" si="1"/>
        <v>852</v>
      </c>
      <c r="AN14" s="1257">
        <f t="shared" si="1"/>
        <v>0</v>
      </c>
      <c r="AO14" s="1257">
        <f t="shared" si="1"/>
        <v>0</v>
      </c>
      <c r="AP14" s="1262">
        <f>IF(ISNUMBER(((Datos!L14/Datos!K14)*11)/factor_trimestre),((Datos!L14/Datos!K14)*11)/factor_trimestre," - ")</f>
        <v>7.5549662487945994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-0.2967032967032967</v>
      </c>
      <c r="AU14" s="1257" t="str">
        <f>IF(ISNUMBER((DatosP!#REF!-DatosP!#REF!+DatosP!#REF!)/(DatosP!#REF!+DatosP!#REF!-DatosP!#REF!-DatosP!#REF!)),(DatosP!#REF!-DatosP!#REF!+DatosP!#REF!)/(DatosP!#REF!+DatosP!#REF!-DatosP!#REF!-DatosP!#REF!)," - ")</f>
        <v xml:space="preserve"> - </v>
      </c>
      <c r="AV14" s="1263">
        <f>SUBTOTAL(9,AV9:AV13)</f>
        <v>-6.0212201591511937E-2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2.8627002288329519</v>
      </c>
      <c r="AQ23" s="1262">
        <f>IF(ISNUMBER(((Datos!M23/Datos!L23)*11)/factor_trimestre),((Datos!M23/Datos!L23)*11)/factor_trimestre," - ")</f>
        <v>0.4112709832134292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0.2476489028213166</v>
      </c>
      <c r="AW23" s="1265">
        <f>IF(ISNUMBER((Datos!Q23-Datos!R23)/(Datos!S23-Datos!Q23+Datos!R23)),(Datos!Q23-Datos!R23)/(Datos!S23-Datos!Q23+Datos!R23)," - ")</f>
        <v>-0.12111468381564845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91</v>
      </c>
      <c r="G31" s="1278">
        <f t="shared" si="8"/>
        <v>91</v>
      </c>
      <c r="H31" s="1278">
        <f t="shared" si="8"/>
        <v>0</v>
      </c>
      <c r="I31" s="1279">
        <f t="shared" si="8"/>
        <v>0</v>
      </c>
      <c r="J31" s="1280">
        <f t="shared" si="8"/>
        <v>0</v>
      </c>
      <c r="K31" s="1280">
        <f t="shared" si="8"/>
        <v>0</v>
      </c>
      <c r="L31" s="1280">
        <f t="shared" si="8"/>
        <v>0</v>
      </c>
      <c r="M31" s="1280">
        <f t="shared" si="8"/>
        <v>0</v>
      </c>
      <c r="N31" s="1279">
        <f t="shared" si="8"/>
        <v>474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27</v>
      </c>
      <c r="AC31" s="1284">
        <f t="shared" si="9"/>
        <v>0</v>
      </c>
      <c r="AD31" s="1284">
        <f t="shared" si="9"/>
        <v>921</v>
      </c>
      <c r="AE31" s="1284">
        <f t="shared" si="9"/>
        <v>0</v>
      </c>
      <c r="AF31" s="1285">
        <f t="shared" si="9"/>
        <v>90</v>
      </c>
      <c r="AG31" s="1285">
        <f t="shared" si="9"/>
        <v>0</v>
      </c>
      <c r="AH31" s="1285">
        <f t="shared" si="9"/>
        <v>7086</v>
      </c>
      <c r="AI31" s="1285">
        <f t="shared" si="9"/>
        <v>0</v>
      </c>
      <c r="AJ31" s="1286">
        <f t="shared" si="9"/>
        <v>0</v>
      </c>
      <c r="AK31" s="1286">
        <f t="shared" si="9"/>
        <v>0</v>
      </c>
      <c r="AL31" s="1278">
        <f t="shared" si="9"/>
        <v>501</v>
      </c>
      <c r="AM31" s="1278">
        <f t="shared" si="9"/>
        <v>852</v>
      </c>
      <c r="AN31" s="1278">
        <f t="shared" si="9"/>
        <v>0</v>
      </c>
      <c r="AO31" s="1278">
        <f t="shared" si="9"/>
        <v>0</v>
      </c>
      <c r="AP31" s="1278">
        <f>IF(ISNUMBER(((Datos!L31/Datos!K31)*11)/factor_trimestre),((Datos!L31/Datos!K31)*11)/factor_trimestre," - ")</f>
        <v>4.9350511073253838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-0.2967032967032967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-4.7930557302805384E-2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49.842752732970119</v>
      </c>
      <c r="G33" s="1007">
        <f>IF(ISNUMBER(STDEV(G8:G30)),STDEV(G8:G30),"-")</f>
        <v>49.842752732970119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14.788509052639485</v>
      </c>
      <c r="AC33" s="1008">
        <f>IF(ISNUMBER(STDEV(AC8:AC30)),STDEV(AC8:AC30),"-")</f>
        <v>0</v>
      </c>
      <c r="AD33" s="1011"/>
      <c r="AE33" s="1011"/>
      <c r="AF33" s="1011"/>
      <c r="AG33" s="1011"/>
      <c r="AH33" s="1011"/>
      <c r="AI33" s="1011"/>
      <c r="AJ33" s="1012">
        <f>IF(ISNUMBER(STDEV(AJ8:AJ30)),STDEV(AJ8:AJ30),"-")</f>
        <v>0</v>
      </c>
      <c r="AK33" s="1014"/>
      <c r="AL33" s="1006">
        <f>IF(ISNUMBER(STDEV(AL8:AL30)),STDEV(AL8:AL30),"-")</f>
        <v>254.51443966895081</v>
      </c>
      <c r="AM33" s="1006"/>
      <c r="AN33" s="1006">
        <f>IF(ISNUMBER(STDEV(AN8:AN30)),STDEV(AN8:AN30),"-")</f>
        <v>0</v>
      </c>
      <c r="AO33" s="1012">
        <f>IF(ISNUMBER(STDEV(AO8:AO30)),STDEV(AO8:AO30),"-")</f>
        <v>0</v>
      </c>
      <c r="AP33" s="1065">
        <f>IF(ISNUMBER(STDEV(AP8:AP30)),STDEV(AP8:AP30),"-")</f>
        <v>2.9788613901545085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qez2314tAaIyFxDBXMlxQYVrTm4vJmMdag/FjO2CPXY8xnitowolgyU38oxw1TajSlV2XgA3VCZp7FTzsOs4g==" saltValue="RBSU4eM3EPQREOK5jQsk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GAVA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enpCt4VDWtpHjodl6K4mDoRwAjyfjVReBxIjNPledcbz2zyrlgRmPM7EveszeVu4tMcJfmWfiXdkLDhfR83bw==" saltValue="nxj0Ag8QdgpybbN82l+G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GAVA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7</v>
      </c>
      <c r="G10" s="452">
        <f>IF(ISNUMBER(F10/B10),F10/B10," - ")</f>
        <v>7</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490</v>
      </c>
      <c r="E12" s="452">
        <f t="shared" si="0"/>
        <v>54.444444444444443</v>
      </c>
      <c r="F12" s="451">
        <f>IF(ISNUMBER(Datos!N12),Datos!N12," - ")</f>
        <v>845</v>
      </c>
      <c r="G12" s="452">
        <f t="shared" si="1"/>
        <v>93.888888888888886</v>
      </c>
      <c r="H12" s="451">
        <f>IF(ISNUMBER(Datos!O12),Datos!O12," - ")</f>
        <v>1021</v>
      </c>
      <c r="I12" s="452">
        <f t="shared" si="2"/>
        <v>113.44444444444444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501</v>
      </c>
      <c r="E14" s="1147">
        <f t="shared" si="0"/>
        <v>50.1</v>
      </c>
      <c r="F14" s="1146">
        <f>SUBTOTAL(9,F9:F13)</f>
        <v>852</v>
      </c>
      <c r="G14" s="1147">
        <f t="shared" si="1"/>
        <v>85.2</v>
      </c>
      <c r="H14" s="1146">
        <f>SUBTOTAL(9,H9:H13)</f>
        <v>1030</v>
      </c>
      <c r="I14" s="1147">
        <f>IF(ISNUMBER(H14/B14),H14/B14," - ")</f>
        <v>103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333</v>
      </c>
      <c r="E17" s="452">
        <f t="shared" si="3"/>
        <v>37</v>
      </c>
      <c r="F17" s="451">
        <f>IF(ISNUMBER(Datos!N17),Datos!N17," - ")</f>
        <v>1664</v>
      </c>
      <c r="G17" s="452">
        <f t="shared" si="4"/>
        <v>184.88888888888889</v>
      </c>
      <c r="H17" s="451">
        <f>IF(ISNUMBER(Datos!O17),Datos!O17," - ")</f>
        <v>26</v>
      </c>
      <c r="I17" s="452">
        <f t="shared" si="5"/>
        <v>2.8888888888888888</v>
      </c>
    </row>
    <row r="18" spans="1:9">
      <c r="A18" s="450" t="str">
        <f>Datos!A18</f>
        <v>Jdos. Violencia contra la mujer</v>
      </c>
      <c r="B18" s="480">
        <f>Datos!AO18</f>
        <v>1</v>
      </c>
      <c r="C18" s="481">
        <f>Datos!AQ18</f>
        <v>1</v>
      </c>
      <c r="D18" s="451">
        <f>IF(ISNUMBER(Datos!M18),Datos!M18," - ")</f>
        <v>10</v>
      </c>
      <c r="E18" s="452">
        <f>IF(ISNUMBER(D18/B18),D18/B18," - ")</f>
        <v>10</v>
      </c>
      <c r="F18" s="451">
        <f>IF(ISNUMBER(Datos!N18),Datos!N18," - ")</f>
        <v>97</v>
      </c>
      <c r="G18" s="452">
        <f>IF(ISNUMBER(F18/B18),F18/B18," - ")</f>
        <v>97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343</v>
      </c>
      <c r="E23" s="1147">
        <f t="shared" si="3"/>
        <v>34.299999999999997</v>
      </c>
      <c r="F23" s="1146">
        <f>SUBTOTAL(9,F16:F22)</f>
        <v>1761</v>
      </c>
      <c r="G23" s="1147">
        <f t="shared" si="4"/>
        <v>176.1</v>
      </c>
      <c r="H23" s="1146">
        <f>SUBTOTAL(9,H16:H22)</f>
        <v>26</v>
      </c>
      <c r="I23" s="1147">
        <f>IF(ISNUMBER(H23/B23),H23/B23," - ")</f>
        <v>2.6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844</v>
      </c>
      <c r="E31" s="1085">
        <f>IF(ISNUMBER(D31/B31),D31/B31," - ")</f>
        <v>84.4</v>
      </c>
      <c r="F31" s="1084">
        <f>SUBTOTAL(9,F8:F30)</f>
        <v>2613</v>
      </c>
      <c r="G31" s="1085">
        <f>IF(ISNUMBER(F31/B31),F31/B31," - ")</f>
        <v>261.3</v>
      </c>
      <c r="H31" s="1084">
        <f>SUBTOTAL(9,H8:H30)</f>
        <v>1056</v>
      </c>
      <c r="I31" s="1085">
        <f>IF(ISNUMBER(H31/B31),H31/B31," - ")</f>
        <v>105.6</v>
      </c>
    </row>
    <row r="34" spans="1:1">
      <c r="A34" s="439" t="str">
        <f>Criterios!A4</f>
        <v>Fecha Informe: 05 may. 2023</v>
      </c>
    </row>
    <row r="39" spans="1:1">
      <c r="A39" s="462"/>
    </row>
  </sheetData>
  <sheetProtection algorithmName="SHA-512" hashValue="MSXrP/znbkh9LUm55mcAsckx5SY10PcBu1t/kTf2fh71ELvS2O82eemTIOPQul8HTP+qaQ6J2DzIOQVsXYp9rA==" saltValue="VptZ/FWMtlvDHHK5PFQY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GAVA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13</v>
      </c>
      <c r="D10" s="456">
        <f>IF(ISNUMBER(Datos!R10),Datos!R10," - ")</f>
        <v>84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467</v>
      </c>
      <c r="C12" s="489">
        <f>IF(ISNUMBER(Datos!Q12),Datos!Q12," - ")</f>
        <v>921</v>
      </c>
      <c r="D12" s="456">
        <f>IF(ISNUMBER(Datos!R12),Datos!R12," - ")</f>
        <v>7086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474</v>
      </c>
      <c r="C14" s="1150">
        <f>SUBTOTAL(9,C9:C13)</f>
        <v>934</v>
      </c>
      <c r="D14" s="1148">
        <f>SUBTOTAL(9,D9:D13)</f>
        <v>7170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137</v>
      </c>
      <c r="C17" s="489">
        <f>IF(ISNUMBER(Datos!Q17),Datos!Q17," - ")</f>
        <v>55</v>
      </c>
      <c r="D17" s="456">
        <f>IF(ISNUMBER(Datos!R17),Datos!R17," - ")</f>
        <v>395</v>
      </c>
    </row>
    <row r="18" spans="1:4">
      <c r="A18" s="450" t="str">
        <f>Datos!A18</f>
        <v>Jdos. Violencia contra la mujer</v>
      </c>
      <c r="B18" s="488">
        <f>IF(ISNUMBER(Datos!P18),Datos!P18," - ")</f>
        <v>1</v>
      </c>
      <c r="C18" s="489">
        <f>IF(ISNUMBER(Datos!Q18),Datos!Q18," - ")</f>
        <v>4</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138</v>
      </c>
      <c r="C23" s="1150">
        <f>SUBTOTAL(9,C16:C22)</f>
        <v>59</v>
      </c>
      <c r="D23" s="1148">
        <f>SUBTOTAL(9,D16:D22)</f>
        <v>398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612</v>
      </c>
      <c r="C31" s="1089">
        <f>SUBTOTAL(9,C8:C30)</f>
        <v>993</v>
      </c>
      <c r="D31" s="1090">
        <f>SUBTOTAL(9,D8:D30)</f>
        <v>7568</v>
      </c>
    </row>
    <row r="32" spans="1:4" ht="7.5" customHeight="1"/>
    <row r="33" spans="1:1" ht="6" customHeight="1"/>
    <row r="34" spans="1:1">
      <c r="A34" s="439" t="str">
        <f>Criterios!A4</f>
        <v>Fecha Informe: 05 may. 2023</v>
      </c>
    </row>
    <row r="39" spans="1:1">
      <c r="A39" s="462"/>
    </row>
  </sheetData>
  <sheetProtection algorithmName="SHA-512" hashValue="NikJh8mS3TBd3Gh1AoF/qpz4XNTW3LMPS6oYEeLrolM0veJQ540xgBe6WnQalwAm3kzsQT2VK0ad+XN3vzx22g==" saltValue="epsvbXE57IcQpvUE04vi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GAVA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-4.2105263157894736E-2</v>
      </c>
      <c r="C10" s="515">
        <f>IF(ISNUMBER((Datos!J10-Datos!T10)/Datos!T10),(Datos!J10-Datos!T10)/Datos!T10," - ")</f>
        <v>0.04</v>
      </c>
      <c r="D10" s="515">
        <f>IF(ISNUMBER((Datos!K10-Datos!U10)/Datos!U10),(Datos!K10-Datos!U10)/Datos!U10," - ")</f>
        <v>-0.28947368421052633</v>
      </c>
      <c r="E10" s="515">
        <f>IF(ISNUMBER((Datos!L10-Datos!V10)/Datos!V10),(Datos!L10-Datos!V10)/Datos!V10," - ")</f>
        <v>9.7560975609756101E-2</v>
      </c>
      <c r="F10" s="515">
        <f>IF(ISNUMBER((Datos!M10-Datos!W10)/Datos!W10),(Datos!M10-Datos!W10)/Datos!W10," - ")</f>
        <v>-0.15384615384615385</v>
      </c>
      <c r="G10" s="516">
        <f>IF(ISNUMBER((Datos!N10-Datos!X10)/Datos!X10),(Datos!N10-Datos!X10)/Datos!X10," - ")</f>
        <v>-0.5625</v>
      </c>
      <c r="H10" s="514">
        <f>IF(ISNUMBER(((NºAsuntos!G10/NºAsuntos!E10)-Datos!BD10)/Datos!BD10),((NºAsuntos!G10/NºAsuntos!E10)-Datos!BD10)/Datos!BD10," - ")</f>
        <v>-0.31680161943319834</v>
      </c>
      <c r="I10" s="515">
        <f>IF(ISNUMBER(((NºAsuntos!I10/NºAsuntos!G10)-Datos!BE10)/Datos!BE10),((NºAsuntos!I10/NºAsuntos!G10)-Datos!BE10)/Datos!BE10," - ")</f>
        <v>0.54471544715447162</v>
      </c>
      <c r="J10" s="521">
        <f>IF(ISNUMBER((('Resol  Asuntos'!D10/NºAsuntos!G10)-Datos!BF10)/Datos!BF10),(('Resol  Asuntos'!D10/NºAsuntos!G10)-Datos!BF10)/Datos!BF10," - ")</f>
        <v>0.19088319088319078</v>
      </c>
      <c r="K10" s="522">
        <f>IF(ISNUMBER((((NºAsuntos!C10+NºAsuntos!E10)/NºAsuntos!G10)-Datos!BG10)/Datos!BG10),(((NºAsuntos!C10+NºAsuntos!E10)/NºAsuntos!G10)-Datos!BG10)/Datos!BG10," - ")</f>
        <v>0.37222222222222212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8.612836438923395E-2</v>
      </c>
      <c r="C12" s="515">
        <f>IF(ISNUMBER(
   IF(J_V="SI",(Datos!J12-Datos!T12)/Datos!T12,(Datos!J12+Datos!Z12-(Datos!T12+Datos!AH12))/(Datos!T12+Datos!AH12))
     ),IF(J_V="SI",(Datos!J12-Datos!T12)/Datos!T12,(Datos!J12+Datos!Z12-(Datos!T12+Datos!AH12))/(Datos!T12+Datos!AH12))," - ")</f>
        <v>0.20129870129870131</v>
      </c>
      <c r="D12" s="515">
        <f>IF(ISNUMBER(
   IF(J_V="SI",(Datos!K12-Datos!U12)/Datos!U12,(Datos!K12+Datos!AA12-(Datos!U12+Datos!AI12))/(Datos!U12+Datos!AI12))
     ),IF(J_V="SI",(Datos!K12-Datos!U12)/Datos!U12,(Datos!K12+Datos!AA12-(Datos!U12+Datos!AI12))/(Datos!U12+Datos!AI12))," - ")</f>
        <v>6.5656565656565663E-2</v>
      </c>
      <c r="E12" s="515">
        <f>IF(ISNUMBER(
   IF(J_V="SI",(Datos!L12-Datos!V12)/Datos!V12,(Datos!L12+Datos!AB12-(Datos!V12+Datos!AJ12))/(Datos!V12+Datos!AJ12))
     ),IF(J_V="SI",(Datos!L12-Datos!V12)/Datos!V12,(Datos!L12+Datos!AB12-(Datos!V12+Datos!AJ12))/(Datos!V12+Datos!AJ12))," - ")</f>
        <v>0.10904086385771755</v>
      </c>
      <c r="F12" s="515">
        <f>IF(ISNUMBER((Datos!M12-Datos!W12)/Datos!W12),(Datos!M12-Datos!W12)/Datos!W12," - ")</f>
        <v>-5.9500959692898273E-2</v>
      </c>
      <c r="G12" s="516">
        <f>IF(ISNUMBER((Datos!N12-Datos!X12)/Datos!X12),(Datos!N12-Datos!X12)/Datos!X12," - ")</f>
        <v>0.19519094766619519</v>
      </c>
      <c r="H12" s="514">
        <f>IF(ISNUMBER(((NºAsuntos!G12/NºAsuntos!E12)-Datos!BD12)/Datos!BD12),((NºAsuntos!G12/NºAsuntos!E12)-Datos!BD12)/Datos!BD12," - ")</f>
        <v>-0.11291291291291293</v>
      </c>
      <c r="I12" s="515">
        <f>IF(ISNUMBER(((NºAsuntos!I12/NºAsuntos!G12)-Datos!BE12)/Datos!BE12),((NºAsuntos!I12/NºAsuntos!G12)-Datos!BE12)/Datos!BE12," - ")</f>
        <v>4.0711331961270497E-2</v>
      </c>
      <c r="J12" s="521">
        <f>IF(ISNUMBER((('Resol  Asuntos'!D12/NºAsuntos!G12)-Datos!BF12)/Datos!BF12),(('Resol  Asuntos'!D12/NºAsuntos!G12)-Datos!BF12)/Datos!BF12," - ")</f>
        <v>-0.34963164562901788</v>
      </c>
      <c r="K12" s="522">
        <f>IF(ISNUMBER((((NºAsuntos!C12+NºAsuntos!E12)/NºAsuntos!G12)-Datos!BG12)/Datos!BG12),(((NºAsuntos!C12+NºAsuntos!E12)/NºAsuntos!G12)-Datos!BG12)/Datos!BG12," - ")</f>
        <v>4.9117921334678898E-2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8.3654822335025386E-2</v>
      </c>
      <c r="C14" s="1152">
        <f>IF(ISNUMBER(
   IF(J_V="SI",(Datos!J14-Datos!T14)/Datos!T14,(Datos!J14+Datos!Z14-(Datos!T14+Datos!AH14))/(Datos!T14+Datos!AH14))
     ),IF(J_V="SI",(Datos!J14-Datos!T14)/Datos!T14,(Datos!J14+Datos!Z14-(Datos!T14+Datos!AH14))/(Datos!T14+Datos!AH14))," - ")</f>
        <v>0.19914575547250402</v>
      </c>
      <c r="D14" s="1152">
        <f>IF(ISNUMBER(
   IF(J_V="SI",(Datos!K14-Datos!U14)/Datos!U14,(Datos!K14+Datos!AA14-(Datos!U14+Datos!AI14))/(Datos!U14+Datos!AI14))
     ),IF(J_V="SI",(Datos!K14-Datos!U14)/Datos!U14,(Datos!K14+Datos!AA14-(Datos!U14+Datos!AI14))/(Datos!U14+Datos!AI14))," - ")</f>
        <v>5.8969276511397425E-2</v>
      </c>
      <c r="E14" s="1152">
        <f>IF(ISNUMBER(
   IF(J_V="SI",(Datos!L14-Datos!V14)/Datos!V14,(Datos!L14+Datos!AB14-(Datos!V14+Datos!AJ14))/(Datos!V14+Datos!AJ14))
     ),IF(J_V="SI",(Datos!L14-Datos!V14)/Datos!V14,(Datos!L14+Datos!AB14-(Datos!V14+Datos!AJ14))/(Datos!V14+Datos!AJ14))," - ")</f>
        <v>0.10884495317377732</v>
      </c>
      <c r="F14" s="1153">
        <f>IF(ISNUMBER((Datos!M14-Datos!W14)/Datos!W14),(Datos!M14-Datos!W14)/Datos!W14," - ")</f>
        <v>-6.1797752808988762E-2</v>
      </c>
      <c r="G14" s="1154">
        <f>IF(ISNUMBER((Datos!N14-Datos!X14)/Datos!X14),(Datos!N14-Datos!X14)/Datos!X14," - ")</f>
        <v>0.17842323651452283</v>
      </c>
      <c r="H14" s="1154">
        <f>IF(ISNUMBER(((NºAsuntos!G14/NºAsuntos!E14)-Datos!BD14)/Datos!BD14),((NºAsuntos!G14/NºAsuntos!E14)-Datos!BD14)/Datos!BD14," - ")</f>
        <v>-0.11689694794931108</v>
      </c>
      <c r="I14" s="1154">
        <f>IF(ISNUMBER(((NºAsuntos!I14/NºAsuntos!G14)-Datos!BE14)/Datos!BE14),((NºAsuntos!I14/NºAsuntos!G14)-Datos!BE14)/Datos!BE14," - ")</f>
        <v>4.7098322650763975E-2</v>
      </c>
      <c r="J14" s="1154">
        <f>IF(ISNUMBER((('Resol  Asuntos'!D14/NºAsuntos!G14)-Datos!BF14)/Datos!BF14),(('Resol  Asuntos'!D14/NºAsuntos!G14)-Datos!BF14)/Datos!BF14," - ")</f>
        <v>-0.34291452191545785</v>
      </c>
      <c r="K14" s="1154">
        <f>IF(ISNUMBER((((NºAsuntos!C14+NºAsuntos!E14)/NºAsuntos!G14)-Datos!BG14)/Datos!BG14),(((NºAsuntos!C14+NºAsuntos!E14)/NºAsuntos!G14)-Datos!BG14)/Datos!BG14," - ")</f>
        <v>5.3359303701176572E-2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3.8307349665924278E-2</v>
      </c>
      <c r="C17" s="515">
        <f>IF(ISNUMBER(
   IF(D_I="SI",(Datos!J17-Datos!T17)/Datos!T17,(Datos!J17+Datos!AD17-(Datos!T17+Datos!AL17))/(Datos!T17+Datos!AL17))
     ),IF(D_I="SI",(Datos!J17-Datos!T17)/Datos!T17,(Datos!J17+Datos!AD17-(Datos!T17+Datos!AL17))/(Datos!T17+Datos!AL17))," - ")</f>
        <v>0.13921113689095127</v>
      </c>
      <c r="D17" s="515">
        <f>IF(ISNUMBER(
   IF(D_I="SI",(Datos!K17-Datos!U17)/Datos!U17,(Datos!K17+Datos!AE17-(Datos!U17+Datos!AM17))/(Datos!U17+Datos!AM17))
     ),IF(D_I="SI",(Datos!K17-Datos!U17)/Datos!U17,(Datos!K17+Datos!AE17-(Datos!U17+Datos!AM17))/(Datos!U17+Datos!AM17))," - ")</f>
        <v>0.16991908614945264</v>
      </c>
      <c r="E17" s="515">
        <f>IF(ISNUMBER(
   IF(D_I="SI",(Datos!L17-Datos!V17)/Datos!V17,(Datos!L17+Datos!AF17-(Datos!V17+Datos!AN17))/(Datos!V17+Datos!AN17))
     ),IF(D_I="SI",(Datos!L17-Datos!V17)/Datos!V17,(Datos!L17+Datos!AF17-(Datos!V17+Datos!AN17))/(Datos!V17+Datos!AN17))," - ")</f>
        <v>1.0564997703261369E-2</v>
      </c>
      <c r="F17" s="515">
        <f>IF(ISNUMBER((Datos!M17-Datos!W17)/Datos!W17),(Datos!M17-Datos!W17)/Datos!W17," - ")</f>
        <v>8.1168831168831168E-2</v>
      </c>
      <c r="G17" s="516">
        <f>IF(ISNUMBER((Datos!N17-Datos!X17)/Datos!X17),(Datos!N17-Datos!X17)/Datos!X17," - ")</f>
        <v>0.26636225266362251</v>
      </c>
      <c r="H17" s="514">
        <f>IF(ISNUMBER(((NºAsuntos!G17/NºAsuntos!E17)-Datos!BD17)/Datos!BD17),((NºAsuntos!G17/NºAsuntos!E17)-Datos!BD17)/Datos!BD17," - ")</f>
        <v>2.6955450367442034E-2</v>
      </c>
      <c r="I17" s="515">
        <f>IF(ISNUMBER(((NºAsuntos!I17/NºAsuntos!G17)-Datos!BE17)/Datos!BE17),((NºAsuntos!I17/NºAsuntos!G17)-Datos!BE17)/Datos!BE17," - ")</f>
        <v>-0.13620949545380301</v>
      </c>
      <c r="J17" s="521">
        <f>IF(ISNUMBER((('Resol  Asuntos'!D17/NºAsuntos!G17)-Datos!BF17)/Datos!BF17),(('Resol  Asuntos'!D17/NºAsuntos!G17)-Datos!BF17)/Datos!BF17," - ")</f>
        <v>-7.5860165058700357E-2</v>
      </c>
      <c r="K17" s="522">
        <f>IF(ISNUMBER((((NºAsuntos!C17+NºAsuntos!E17)/NºAsuntos!G17)-Datos!BG17)/Datos!BG17),(((NºAsuntos!C17+NºAsuntos!E17)/NºAsuntos!G17)-Datos!BG17)/Datos!BG17," - ")</f>
        <v>-7.0254271765663179E-2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0.37209302325581395</v>
      </c>
      <c r="C18" s="515">
        <f>IF(ISNUMBER(
   IF(D_I="SI",(Datos!J18-Datos!T18)/Datos!T18,(Datos!J18+Datos!AD18-(Datos!T18+Datos!AL18))/(Datos!T18+Datos!AL18))
     ),IF(D_I="SI",(Datos!J18-Datos!T18)/Datos!T18,(Datos!J18+Datos!AD18-(Datos!T18+Datos!AL18))/(Datos!T18+Datos!AL18))," - ")</f>
        <v>5.8823529411764705E-3</v>
      </c>
      <c r="D18" s="515">
        <f>IF(ISNUMBER(
   IF(D_I="SI",(Datos!K18-Datos!U18)/Datos!U18,(Datos!K18+Datos!AE18-(Datos!U18+Datos!AM18))/(Datos!U18+Datos!AM18))
     ),IF(D_I="SI",(Datos!K18-Datos!U18)/Datos!U18,(Datos!K18+Datos!AE18-(Datos!U18+Datos!AM18))/(Datos!U18+Datos!AM18))," - ")</f>
        <v>-6.8181818181818177E-2</v>
      </c>
      <c r="E18" s="515">
        <f>IF(ISNUMBER(
   IF(D_I="SI",(Datos!L18-Datos!V18)/Datos!V18,(Datos!L18+Datos!AF18-(Datos!V18+Datos!AN18))/(Datos!V18+Datos!AN18))
     ),IF(D_I="SI",(Datos!L18-Datos!V18)/Datos!V18,(Datos!L18+Datos!AF18-(Datos!V18+Datos!AN18))/(Datos!V18+Datos!AN18))," - ")</f>
        <v>0.44497607655502391</v>
      </c>
      <c r="F18" s="515">
        <f>IF(ISNUMBER((Datos!M18-Datos!W18)/Datos!W18),(Datos!M18-Datos!W18)/Datos!W18," - ")</f>
        <v>0.1111111111111111</v>
      </c>
      <c r="G18" s="516">
        <f>IF(ISNUMBER((Datos!N18-Datos!X18)/Datos!X18),(Datos!N18-Datos!X18)/Datos!X18," - ")</f>
        <v>-1.020408163265306E-2</v>
      </c>
      <c r="H18" s="514">
        <f>IF(ISNUMBER(((NºAsuntos!G18/NºAsuntos!E18)-Datos!BD18)/Datos!BD18),((NºAsuntos!G18/NºAsuntos!E18)-Datos!BD18)/Datos!BD18," - ")</f>
        <v>-7.3631047315257978E-2</v>
      </c>
      <c r="I18" s="515">
        <f>IF(ISNUMBER(((NºAsuntos!I18/NºAsuntos!G18)-Datos!BE18)/Datos!BE18),((NºAsuntos!I18/NºAsuntos!G18)-Datos!BE18)/Datos!BE18," - ")</f>
        <v>0.55070603337612334</v>
      </c>
      <c r="J18" s="521">
        <f>IF(ISNUMBER((('Resol  Asuntos'!D18/NºAsuntos!G18)-Datos!BF18)/Datos!BF18),(('Resol  Asuntos'!D18/NºAsuntos!G18)-Datos!BF18)/Datos!BF18," - ")</f>
        <v>0.1924119241192411</v>
      </c>
      <c r="K18" s="522">
        <f>IF(ISNUMBER((((NºAsuntos!C18+NºAsuntos!E18)/NºAsuntos!G18)-Datos!BG18)/Datos!BG18),(((NºAsuntos!C18+NºAsuntos!E18)/NºAsuntos!G18)-Datos!BG18)/Datos!BG18," - ")</f>
        <v>0.29895470383275252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6.7479674796747963E-2</v>
      </c>
      <c r="C23" s="1152">
        <f>IF(ISNUMBER(
   IF(Criterios!B14="SI",(Datos!J23-Datos!T23)/Datos!T23,(Datos!J23+Datos!AD23-(Datos!T23+Datos!AL23))/(Datos!T23+Datos!AL23))
     ),IF(Criterios!B14="SI",(Datos!J23-Datos!T23)/Datos!T23,(Datos!J23+Datos!AD23-(Datos!T23+Datos!AL23))/(Datos!T23+Datos!AL23))," - ")</f>
        <v>0.12946236559139784</v>
      </c>
      <c r="D23" s="1152">
        <f>IF(ISNUMBER(
   IF(Criterios!B14="SI",(Datos!K23-Datos!U23)/Datos!U23,(Datos!K23+Datos!AE23-(Datos!U23+Datos!AM23))/(Datos!U23+Datos!AM23))
     ),IF(Criterios!B14="SI",(Datos!K23-Datos!U23)/Datos!U23,(Datos!K23+Datos!AE23-(Datos!U23+Datos!AM23))/(Datos!U23+Datos!AM23))," - ")</f>
        <v>0.15151515151515152</v>
      </c>
      <c r="E23" s="1152">
        <f>IF(ISNUMBER(
   IF(Criterios!B14="SI",(Datos!L23-Datos!V23)/Datos!V23,(Datos!L23+Datos!AF23-(Datos!V23+Datos!AN23))/(Datos!V23+Datos!AN23))
     ),IF(Criterios!B14="SI",(Datos!L23-Datos!V23)/Datos!V23,(Datos!L23+Datos!AF23-(Datos!V23+Datos!AN23))/(Datos!V23+Datos!AN23))," - ")</f>
        <v>4.861693210393965E-2</v>
      </c>
      <c r="F23" s="1153">
        <f>IF(ISNUMBER((Datos!M23-Datos!W23)/Datos!W23),(Datos!M23-Datos!W23)/Datos!W23," - ")</f>
        <v>8.2018927444794956E-2</v>
      </c>
      <c r="G23" s="1154">
        <f>IF(ISNUMBER((Datos!N23-Datos!X23)/Datos!X23),(Datos!N23-Datos!X23)/Datos!X23," - ")</f>
        <v>0.24716713881019831</v>
      </c>
      <c r="H23" s="1154">
        <f>IF(ISNUMBER(((NºAsuntos!G23/NºAsuntos!E23)-Datos!BD23)/Datos!BD23),((NºAsuntos!G23/NºAsuntos!E23)-Datos!BD23)/Datos!BD23," - ")</f>
        <v>1.9525029426019466E-2</v>
      </c>
      <c r="I23" s="1154">
        <f>IF(ISNUMBER(((NºAsuntos!I23/NºAsuntos!G23)-Datos!BE23)/Datos!BE23),((NºAsuntos!I23/NºAsuntos!G23)-Datos!BE23)/Datos!BE23," - ")</f>
        <v>-8.9358980014999714E-2</v>
      </c>
      <c r="J23" s="1154">
        <f>IF(ISNUMBER((('Resol  Asuntos'!D23/NºAsuntos!G23)-Datos!BF23)/Datos!BF23),(('Resol  Asuntos'!D23/NºAsuntos!G23)-Datos!BF23)/Datos!BF23," - ")</f>
        <v>-6.0351984061099123E-2</v>
      </c>
      <c r="K23" s="1154">
        <f>IF(ISNUMBER((((NºAsuntos!C23+NºAsuntos!E23)/NºAsuntos!G23)-Datos!BG23)/Datos!BG23),(((NºAsuntos!C23+NºAsuntos!E23)/NºAsuntos!G23)-Datos!BG23)/Datos!BG23," - ")</f>
        <v>-4.6823956442831223E-2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7.8266756939742721E-2</v>
      </c>
      <c r="C31" s="1092">
        <f>IF(ISNUMBER(
   IF(J_V="SI",(Datos!J31-Datos!T31)/Datos!T31,(Datos!J31+Datos!Z31-(Datos!T31+Datos!AH31))/(Datos!T31+Datos!AH31))
     ),IF(J_V="SI",(Datos!J31-Datos!T31)/Datos!T31,(Datos!J31+Datos!Z31-(Datos!T31+Datos!AH31))/(Datos!T31+Datos!AH31))," - ")</f>
        <v>0.16055264411624584</v>
      </c>
      <c r="D31" s="1092">
        <f>IF(ISNUMBER(
   IF(J_V="SI",(Datos!K31-Datos!U31)/Datos!U31,(Datos!K31+Datos!AA31-(Datos!U31+Datos!AI31))/(Datos!U31+Datos!AI31))
     ),IF(J_V="SI",(Datos!K31-Datos!U31)/Datos!U31,(Datos!K31+Datos!AA31-(Datos!U31+Datos!AI31))/(Datos!U31+Datos!AI31))," - ")</f>
        <v>0.10803259604190919</v>
      </c>
      <c r="E31" s="1092">
        <f>IF(ISNUMBER(
   IF(J_V="SI",(Datos!L31-Datos!V31)/Datos!V31,(Datos!L31+Datos!AB31-(Datos!V31+Datos!AJ31))/(Datos!V31+Datos!AJ31))
     ),IF(J_V="SI",(Datos!L31-Datos!V31)/Datos!V31,(Datos!L31+Datos!AB31-(Datos!V31+Datos!AJ31))/(Datos!V31+Datos!AJ31))," - ")</f>
        <v>8.8861076345431791E-2</v>
      </c>
      <c r="F31" s="1093">
        <f>IF(ISNUMBER((Datos!M31-Datos!W31)/Datos!W31),(Datos!M31-Datos!W31)/Datos!W31," - ")</f>
        <v>-8.2256169212690956E-3</v>
      </c>
      <c r="G31" s="1094">
        <f>IF(ISNUMBER((Datos!N31-Datos!X31)/Datos!X31),(Datos!N31-Datos!X31)/Datos!X31," - ")</f>
        <v>0.22388758782201404</v>
      </c>
      <c r="H31" s="1095">
        <f>IF(ISNUMBER((Tasas!B31-Datos!BD31)/Datos!BD31),(Tasas!B31-Datos!BD31)/Datos!BD31," - ")</f>
        <v>-4.5254343558305578E-2</v>
      </c>
      <c r="I31" s="1096">
        <f>IF(ISNUMBER((Tasas!C31-Datos!BE31)/Datos!BE31),(Tasas!C31-Datos!BE31)/Datos!BE31," - ")</f>
        <v>-1.7302306597262222E-2</v>
      </c>
      <c r="J31" s="1097">
        <f>IF(ISNUMBER((Tasas!D31-Datos!BF31)/Datos!BF31),(Tasas!D31-Datos!BF31)/Datos!BF31," - ")</f>
        <v>-0.26546726772376478</v>
      </c>
      <c r="K31" s="1097">
        <f>IF(ISNUMBER((Tasas!E31-Datos!BG31)/Datos!BG31),(Tasas!E31-Datos!BG31)/Datos!BG31," - ")</f>
        <v>5.1302986093209784E-5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3FwgKXt0pb/YA2v8M+1STAe2MvYe8i6eZBuBjYftdw+7eSYpMLtOgwUrTwPN+DkWMtJcUCyn6ZU+isJfogVQ==" saltValue="IEzVchR03hWku90mawss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GAVA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1.0384615384615385</v>
      </c>
      <c r="C10" s="498">
        <f>IF(ISNUMBER(NºAsuntos!I10/NºAsuntos!G10),NºAsuntos!I10/NºAsuntos!G10," - ")</f>
        <v>3.3333333333333335</v>
      </c>
      <c r="D10" s="499">
        <f>IF(ISNUMBER('Resol  Asuntos'!D10/NºAsuntos!G10),'Resol  Asuntos'!D10/NºAsuntos!G10," - ")</f>
        <v>0.40740740740740738</v>
      </c>
      <c r="E10" s="500">
        <f>IF(ISNUMBER((NºAsuntos!C10+NºAsuntos!E10)/NºAsuntos!G10),(NºAsuntos!C10+NºAsuntos!E10)/NºAsuntos!G10," - ")</f>
        <v>4.333333333333333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0.9504504504504504</v>
      </c>
      <c r="C12" s="498">
        <f>IF(ISNUMBER(NºAsuntos!I12/NºAsuntos!G12),NºAsuntos!I12/NºAsuntos!G12," - ")</f>
        <v>2.4824644549763035</v>
      </c>
      <c r="D12" s="499">
        <f>IF(ISNUMBER('Resol  Asuntos'!D12/NºAsuntos!G12),'Resol  Asuntos'!D12/NºAsuntos!G12," - ")</f>
        <v>0.23222748815165878</v>
      </c>
      <c r="E12" s="500">
        <f>IF(ISNUMBER((NºAsuntos!C12+NºAsuntos!E12)/NºAsuntos!G12),(NºAsuntos!C12+NºAsuntos!E12)/NºAsuntos!G12," - ")</f>
        <v>3.5383886255924168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0.95146927871772036</v>
      </c>
      <c r="C14" s="1156">
        <f>IF(ISNUMBER(NºAsuntos!I14/NºAsuntos!G14),NºAsuntos!I14/NºAsuntos!G14," - ")</f>
        <v>2.4932147870846983</v>
      </c>
      <c r="D14" s="1157">
        <f>IF(ISNUMBER('Resol  Asuntos'!D14/NºAsuntos!G14),'Resol  Asuntos'!D14/NºAsuntos!G14," - ")</f>
        <v>0.23444080486663546</v>
      </c>
      <c r="E14" s="1158">
        <f>IF(ISNUMBER((NºAsuntos!C14+NºAsuntos!E14)/NºAsuntos!G14),(NºAsuntos!C14+NºAsuntos!E14)/NºAsuntos!G14," - ")</f>
        <v>3.548432381843706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1.0012219959266802</v>
      </c>
      <c r="C17" s="498">
        <f>IF(ISNUMBER(NºAsuntos!I17/NºAsuntos!G17),NºAsuntos!I17/NºAsuntos!G17," - ")</f>
        <v>0.89503661513425548</v>
      </c>
      <c r="D17" s="499">
        <f>IF(ISNUMBER('Resol  Asuntos'!D17/NºAsuntos!G17),'Resol  Asuntos'!D17/NºAsuntos!G17," - ")</f>
        <v>0.1354759967453214</v>
      </c>
      <c r="E17" s="500">
        <f>IF(ISNUMBER((NºAsuntos!C17+NºAsuntos!E17)/NºAsuntos!G17),(NºAsuntos!C17+NºAsuntos!E17)/NºAsuntos!G17," - ")</f>
        <v>1.9471114727420666</v>
      </c>
      <c r="G17" s="523"/>
    </row>
    <row r="18" spans="1:7">
      <c r="A18" s="450" t="str">
        <f>Datos!A18</f>
        <v>Jdos. Violencia contra la mujer</v>
      </c>
      <c r="B18" s="497">
        <f>IF(ISNUMBER(NºAsuntos!G18/NºAsuntos!E18),NºAsuntos!G18/NºAsuntos!E18," - ")</f>
        <v>0.95906432748538006</v>
      </c>
      <c r="C18" s="498">
        <f>IF(ISNUMBER(NºAsuntos!I18/NºAsuntos!G18),NºAsuntos!I18/NºAsuntos!G18," - ")</f>
        <v>1.8414634146341464</v>
      </c>
      <c r="D18" s="499">
        <f>IF(ISNUMBER('Resol  Asuntos'!D18/NºAsuntos!G18),'Resol  Asuntos'!D18/NºAsuntos!G18," - ")</f>
        <v>6.097560975609756E-2</v>
      </c>
      <c r="E18" s="500">
        <f>IF(ISNUMBER((NºAsuntos!C18+NºAsuntos!E18)/NºAsuntos!G18),(NºAsuntos!C18+NºAsuntos!E18)/NºAsuntos!G18," - ")</f>
        <v>2.8414634146341462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0.99847677075399843</v>
      </c>
      <c r="C23" s="1156">
        <f>IF(ISNUMBER(NºAsuntos!I23/NºAsuntos!G23),NºAsuntos!I23/NºAsuntos!G23," - ")</f>
        <v>0.95423340961098402</v>
      </c>
      <c r="D23" s="1159">
        <f>IF(ISNUMBER('Resol  Asuntos'!D23/NºAsuntos!G23),'Resol  Asuntos'!D23/NºAsuntos!G23," - ")</f>
        <v>0.13081617086193745</v>
      </c>
      <c r="E23" s="1158">
        <f>IF(ISNUMBER((NºAsuntos!C23+NºAsuntos!E23)/NºAsuntos!G23),(NºAsuntos!C23+NºAsuntos!E23)/NºAsuntos!G23," - ")</f>
        <v>2.0030511060259344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0.97680623973727421</v>
      </c>
      <c r="C31" s="1099">
        <f>IF(ISNUMBER(NºAsuntos!I31/NºAsuntos!G31),NºAsuntos!I31/NºAsuntos!G31," - ")</f>
        <v>1.6453036352174826</v>
      </c>
      <c r="D31" s="1100">
        <f>IF(ISNUMBER('Resol  Asuntos'!D31/NºAsuntos!G31),'Resol  Asuntos'!D31/NºAsuntos!G31," - ")</f>
        <v>0.17734818239125866</v>
      </c>
      <c r="E31" s="1101">
        <f>IF(ISNUMBER((NºAsuntos!C31+NºAsuntos!E31)/NºAsuntos!G31),(NºAsuntos!C31+NºAsuntos!E31)/NºAsuntos!G31," - ")</f>
        <v>2.6969951670519015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C43nOBHOINp+k7uSVD6T+yh0DRgqcZi4RFpQmfolk2VaODQLH5Zwz1LGUMHsRjtOCBpDQT1XYQwEO9Ogy4Xsw==" saltValue="WPMX9Ax9DU6ZaGi2b3C+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GAVA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91</v>
      </c>
      <c r="G10" s="373">
        <f>IF(ISNUMBER(Datos!I10),Datos!I10," - ")</f>
        <v>91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27</v>
      </c>
      <c r="X10" s="240">
        <f>IF(ISNUMBER(Datos!Q10),Datos!Q10," - ")</f>
        <v>13</v>
      </c>
      <c r="Y10" s="374">
        <f t="shared" ref="Y10:Y13" si="0">SUM(W10:X10)</f>
        <v>40</v>
      </c>
      <c r="Z10" s="375" t="str">
        <f>IF(ISNUMBER(Datos!CC10),Datos!CC10," - ")</f>
        <v xml:space="preserve"> - </v>
      </c>
      <c r="AA10" s="372">
        <f>IF(ISNUMBER(Datos!L10),Datos!L10,"-")</f>
        <v>90</v>
      </c>
      <c r="AB10" s="374">
        <f>IF(ISNUMBER(Datos!R10),Datos!R10," - ")</f>
        <v>84</v>
      </c>
      <c r="AC10" s="374">
        <f t="shared" ref="AC10:AC13" si="1">IF(ISNUMBER(AA10+AB10),AA10+AB10," - ")</f>
        <v>174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1.0384615384615385</v>
      </c>
      <c r="AM10" s="284">
        <f>IF(ISNUMBER(((NºAsuntos!I10/NºAsuntos!G10)*11)/factor_trimestre),((NºAsuntos!I10/NºAsuntos!G10)*11)/factor_trimestre," - ")</f>
        <v>10.000000000000002</v>
      </c>
      <c r="AN10" s="267">
        <f>IF(ISNUMBER('Resol  Asuntos'!D10/NºAsuntos!G10),'Resol  Asuntos'!D10/NºAsuntos!G10," - ")</f>
        <v>0.40740740740740738</v>
      </c>
      <c r="AO10" s="268">
        <f>IF(ISNUMBER((NºAsuntos!C10+NºAsuntos!E10)/NºAsuntos!G10),(NºAsuntos!C10+NºAsuntos!E10)/NºAsuntos!G10," - ")</f>
        <v>4.333333333333333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921</v>
      </c>
      <c r="Y12" s="374">
        <f t="shared" si="0"/>
        <v>921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7086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490</v>
      </c>
      <c r="AJ12" s="243" t="str">
        <f>IF(ISNUMBER(Datos!BW12),Datos!BW12," - ")</f>
        <v xml:space="preserve"> - </v>
      </c>
      <c r="AK12" s="242" t="str">
        <f>IF(ISNUMBER(Datos!BX12),Datos!BX12," - ")</f>
        <v xml:space="preserve"> - </v>
      </c>
      <c r="AL12" s="266">
        <f>IF(ISNUMBER(NºAsuntos!G12/NºAsuntos!E12),NºAsuntos!G12/NºAsuntos!E12," - ")</f>
        <v>0.9504504504504504</v>
      </c>
      <c r="AM12" s="284">
        <f>IF(ISNUMBER(((NºAsuntos!I12/NºAsuntos!G12)*11)/factor_trimestre),((NºAsuntos!I12/NºAsuntos!G12)*11)/factor_trimestre," - ")</f>
        <v>7.447393364928911</v>
      </c>
      <c r="AN12" s="267">
        <f>IF(ISNUMBER('Resol  Asuntos'!D12/NºAsuntos!G12),'Resol  Asuntos'!D12/NºAsuntos!G12," - ")</f>
        <v>0.23222748815165878</v>
      </c>
      <c r="AO12" s="268">
        <f>IF(ISNUMBER((NºAsuntos!C12+NºAsuntos!E12)/NºAsuntos!G12),(NºAsuntos!C12+NºAsuntos!E12)/NºAsuntos!G12," - ")</f>
        <v>3.5383886255924168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91</v>
      </c>
      <c r="G14" s="1163">
        <f t="shared" si="5"/>
        <v>91</v>
      </c>
      <c r="H14" s="1162">
        <f t="shared" si="5"/>
        <v>0</v>
      </c>
      <c r="I14" s="1164">
        <f t="shared" si="5"/>
        <v>0</v>
      </c>
      <c r="J14" s="1164">
        <f t="shared" si="5"/>
        <v>0</v>
      </c>
      <c r="K14" s="1164">
        <f t="shared" si="5"/>
        <v>0</v>
      </c>
      <c r="L14" s="1164">
        <f t="shared" si="5"/>
        <v>474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27</v>
      </c>
      <c r="X14" s="1164">
        <f t="shared" si="6"/>
        <v>934</v>
      </c>
      <c r="Y14" s="1165">
        <f t="shared" si="6"/>
        <v>961</v>
      </c>
      <c r="Z14" s="1165">
        <f t="shared" si="6"/>
        <v>0</v>
      </c>
      <c r="AA14" s="1165">
        <f t="shared" si="6"/>
        <v>90</v>
      </c>
      <c r="AB14" s="1165">
        <f t="shared" si="6"/>
        <v>7170</v>
      </c>
      <c r="AC14" s="1165">
        <f t="shared" si="6"/>
        <v>174</v>
      </c>
      <c r="AD14" s="1165">
        <f t="shared" si="6"/>
        <v>0</v>
      </c>
      <c r="AE14" s="1169">
        <f t="shared" si="6"/>
        <v>0</v>
      </c>
      <c r="AF14" s="1162">
        <f t="shared" si="6"/>
        <v>0</v>
      </c>
      <c r="AG14" s="1170">
        <f t="shared" si="6"/>
        <v>0</v>
      </c>
      <c r="AH14" s="1167">
        <f t="shared" si="6"/>
        <v>0</v>
      </c>
      <c r="AI14" s="1162">
        <f t="shared" si="6"/>
        <v>501</v>
      </c>
      <c r="AJ14" s="1164">
        <f t="shared" si="6"/>
        <v>0</v>
      </c>
      <c r="AK14" s="1167">
        <f>SUBTOTAL(9,AK9:AK13)</f>
        <v>0</v>
      </c>
      <c r="AL14" s="1171">
        <f>IF(ISNUMBER(NºAsuntos!G14/NºAsuntos!E14),NºAsuntos!G14/NºAsuntos!E14," - ")</f>
        <v>0.95146927871772036</v>
      </c>
      <c r="AM14" s="1171">
        <f>IF(ISNUMBER(((NºAsuntos!I14/NºAsuntos!G14)*11)/factor_trimestre),((NºAsuntos!I14/NºAsuntos!G14)*11)/factor_trimestre," - ")</f>
        <v>7.4796443612540955</v>
      </c>
      <c r="AN14" s="1172">
        <f>IF(ISNUMBER('Resol  Asuntos'!D14/NºAsuntos!G14),'Resol  Asuntos'!D14/NºAsuntos!G14," - ")</f>
        <v>0.23444080486663546</v>
      </c>
      <c r="AO14" s="1173">
        <f>IF(ISNUMBER((NºAsuntos!C14+NºAsuntos!E14)/NºAsuntos!G14),(NºAsuntos!C14+NºAsuntos!E14)/NºAsuntos!G14," - ")</f>
        <v>3.548432381843706</v>
      </c>
      <c r="AP14" s="1174" t="str">
        <f t="shared" si="2"/>
        <v xml:space="preserve"> - </v>
      </c>
      <c r="AQ14" s="1174">
        <f>IF(ISNUMBER((H14-W14+K14)/(F14)),(H14-W14+K14)/(F14)," - ")</f>
        <v>-0.2967032967032967</v>
      </c>
      <c r="AR14" s="1175">
        <f>IF(ISNUMBER((Datos!P14-Datos!Q14)/(Datos!R14-Datos!P14+Datos!Q14)),(Datos!P14-Datos!Q14)/(Datos!R14-Datos!P14+Datos!Q14)," - ")</f>
        <v>-6.0288335517693317E-2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2203</v>
      </c>
      <c r="G17" s="373">
        <f>IF(ISNUMBER(IF(D_I="SI",Datos!I17,Datos!I17+Datos!AC17)),IF(D_I="SI",Datos!I17,Datos!I17+Datos!AC17)," - ")</f>
        <v>2331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2458</v>
      </c>
      <c r="X17" s="240">
        <f>IF(ISNUMBER(Datos!Q17),Datos!Q17," - ")</f>
        <v>55</v>
      </c>
      <c r="Y17" s="374">
        <f t="shared" ref="Y17:Y22" si="9">SUM(W17:X17)</f>
        <v>2513</v>
      </c>
      <c r="Z17" s="375" t="str">
        <f>IF(ISNUMBER(Datos!CC17),Datos!CC17," - ")</f>
        <v xml:space="preserve"> - </v>
      </c>
      <c r="AA17" s="372">
        <f>IF(ISNUMBER(IF(D_I="SI",Datos!L17,Datos!L17+Datos!AF17)),IF(D_I="SI",Datos!L17,Datos!L17+Datos!AF17)," - ")</f>
        <v>2200</v>
      </c>
      <c r="AB17" s="374">
        <f>IF(ISNUMBER(Datos!R17),Datos!R17," - ")</f>
        <v>395</v>
      </c>
      <c r="AC17" s="374">
        <f t="shared" si="8"/>
        <v>2595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333</v>
      </c>
      <c r="AJ17" s="245" t="str">
        <f>IF(ISNUMBER(Datos!BW17),Datos!BW17," - ")</f>
        <v xml:space="preserve"> - </v>
      </c>
      <c r="AK17" s="246" t="str">
        <f>IF(ISNUMBER(Datos!BX17),Datos!BX17," - ")</f>
        <v xml:space="preserve"> - </v>
      </c>
      <c r="AL17" s="266">
        <f>IF(ISNUMBER(NºAsuntos!G17/NºAsuntos!E17),NºAsuntos!G17/NºAsuntos!E17," - ")</f>
        <v>1.0012219959266802</v>
      </c>
      <c r="AM17" s="284">
        <f>IF(ISNUMBER(((NºAsuntos!I17/NºAsuntos!G17)*11)/factor_trimestre),((NºAsuntos!I17/NºAsuntos!G17)*11)/factor_trimestre," - ")</f>
        <v>2.6851098454027666</v>
      </c>
      <c r="AN17" s="267">
        <f>IF(ISNUMBER('Resol  Asuntos'!D17/NºAsuntos!G17),'Resol  Asuntos'!D17/NºAsuntos!G17," - ")</f>
        <v>0.1354759967453214</v>
      </c>
      <c r="AO17" s="268">
        <f>IF(ISNUMBER((NºAsuntos!C17+NºAsuntos!E17)/NºAsuntos!G17),(NºAsuntos!C17+NºAsuntos!E17)/NºAsuntos!G17," - ")</f>
        <v>1.9471114727420666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295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164</v>
      </c>
      <c r="X18" s="240">
        <f>IF(ISNUMBER(Datos!Q18),Datos!Q18," - ")</f>
        <v>4</v>
      </c>
      <c r="Y18" s="374">
        <f t="shared" si="9"/>
        <v>168</v>
      </c>
      <c r="Z18" s="375" t="str">
        <f>IF(ISNUMBER(Datos!CC18),Datos!CC18," - ")</f>
        <v xml:space="preserve"> - </v>
      </c>
      <c r="AA18" s="372">
        <f>IF(ISNUMBER(Datos!L18),Datos!L18,"-")</f>
        <v>302</v>
      </c>
      <c r="AB18" s="374">
        <f>IF(ISNUMBER(Datos!R18),Datos!R18," - ")</f>
        <v>3</v>
      </c>
      <c r="AC18" s="374">
        <f t="shared" si="8"/>
        <v>305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0.95906432748538006</v>
      </c>
      <c r="AM18" s="284">
        <f>IF(ISNUMBER(((NºAsuntos!I18/NºAsuntos!G18)*11)/factor_trimestre),((NºAsuntos!I18/NºAsuntos!G18)*11)/factor_trimestre," - ")</f>
        <v>5.5243902439024399</v>
      </c>
      <c r="AN18" s="267">
        <f>IF(ISNUMBER('Resol  Asuntos'!D18/NºAsuntos!G18),'Resol  Asuntos'!D18/NºAsuntos!G18," - ")</f>
        <v>6.097560975609756E-2</v>
      </c>
      <c r="AO18" s="268">
        <f>IF(ISNUMBER((NºAsuntos!C18+NºAsuntos!E18)/NºAsuntos!G18),(NºAsuntos!C18+NºAsuntos!E18)/NºAsuntos!G18," - ")</f>
        <v>2.8414634146341462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2203</v>
      </c>
      <c r="G23" s="1163">
        <f>SUBTOTAL(9,G16:G22)</f>
        <v>2626</v>
      </c>
      <c r="H23" s="1162">
        <f t="shared" ref="H23:O23" si="13">SUBTOTAL(9,H15:H22)</f>
        <v>0</v>
      </c>
      <c r="I23" s="1164">
        <f t="shared" si="13"/>
        <v>0</v>
      </c>
      <c r="J23" s="1164">
        <f t="shared" si="13"/>
        <v>0</v>
      </c>
      <c r="K23" s="1164">
        <f t="shared" si="13"/>
        <v>0</v>
      </c>
      <c r="L23" s="1164">
        <f t="shared" si="13"/>
        <v>138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2622</v>
      </c>
      <c r="X23" s="1164">
        <f t="shared" si="14"/>
        <v>59</v>
      </c>
      <c r="Y23" s="1165">
        <f t="shared" si="14"/>
        <v>2681</v>
      </c>
      <c r="Z23" s="1165">
        <f t="shared" si="14"/>
        <v>0</v>
      </c>
      <c r="AA23" s="1165">
        <f t="shared" si="14"/>
        <v>2502</v>
      </c>
      <c r="AB23" s="1165">
        <f t="shared" si="14"/>
        <v>398</v>
      </c>
      <c r="AC23" s="1165">
        <f t="shared" si="14"/>
        <v>2900</v>
      </c>
      <c r="AD23" s="1165">
        <f t="shared" si="14"/>
        <v>0</v>
      </c>
      <c r="AE23" s="1169">
        <f t="shared" si="14"/>
        <v>0</v>
      </c>
      <c r="AF23" s="1162">
        <f t="shared" si="14"/>
        <v>0</v>
      </c>
      <c r="AG23" s="1170">
        <f t="shared" si="14"/>
        <v>0</v>
      </c>
      <c r="AH23" s="1167">
        <f t="shared" si="14"/>
        <v>0</v>
      </c>
      <c r="AI23" s="1162">
        <f t="shared" si="14"/>
        <v>343</v>
      </c>
      <c r="AJ23" s="1164">
        <f t="shared" si="14"/>
        <v>0</v>
      </c>
      <c r="AK23" s="1167">
        <f t="shared" si="14"/>
        <v>0</v>
      </c>
      <c r="AL23" s="1171">
        <f>IF(ISNUMBER(NºAsuntos!G23/NºAsuntos!E23),NºAsuntos!G23/NºAsuntos!E23," - ")</f>
        <v>0.99847677075399843</v>
      </c>
      <c r="AM23" s="1171">
        <f>IF(ISNUMBER(((NºAsuntos!I23/NºAsuntos!G23)*11)/factor_trimestre),((NºAsuntos!I23/NºAsuntos!G23)*11)/factor_trimestre," - ")</f>
        <v>2.8627002288329519</v>
      </c>
      <c r="AN23" s="1172">
        <f>IF(ISNUMBER('Resol  Asuntos'!D23/NºAsuntos!G23),'Resol  Asuntos'!D23/NºAsuntos!G23," - ")</f>
        <v>0.13081617086193745</v>
      </c>
      <c r="AO23" s="1173">
        <f>IF(ISNUMBER((NºAsuntos!C23+NºAsuntos!E23)/NºAsuntos!G23),(NºAsuntos!C23+NºAsuntos!E23)/NºAsuntos!G23," - ")</f>
        <v>2.0030511060259344</v>
      </c>
      <c r="AP23" s="1174" t="str">
        <f t="shared" si="2"/>
        <v xml:space="preserve"> - </v>
      </c>
      <c r="AQ23" s="1174">
        <f>IF(ISNUMBER((H23-W23+K23)/(F23)),(H23-W23+K23)/(F23)," - ")</f>
        <v>-1.1901951883794826</v>
      </c>
      <c r="AR23" s="1175">
        <f>IF(ISNUMBER((Datos!P23-Datos!Q23)/(Datos!R23-Datos!P23+Datos!Q23)),(Datos!P23-Datos!Q23)/(Datos!R23-Datos!P23+Datos!Q23)," - ")</f>
        <v>0.2476489028213166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2294</v>
      </c>
      <c r="G31" s="1118">
        <f t="shared" si="20"/>
        <v>2717</v>
      </c>
      <c r="H31" s="1117">
        <f t="shared" si="20"/>
        <v>0</v>
      </c>
      <c r="I31" s="1119">
        <f t="shared" si="20"/>
        <v>0</v>
      </c>
      <c r="J31" s="1119">
        <f t="shared" si="20"/>
        <v>0</v>
      </c>
      <c r="K31" s="1180">
        <f t="shared" si="20"/>
        <v>0</v>
      </c>
      <c r="L31" s="1119">
        <f t="shared" si="20"/>
        <v>612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2649</v>
      </c>
      <c r="X31" s="1118">
        <f t="shared" si="21"/>
        <v>993</v>
      </c>
      <c r="Y31" s="1125">
        <f t="shared" si="21"/>
        <v>3642</v>
      </c>
      <c r="Z31" s="1125">
        <f t="shared" si="21"/>
        <v>0</v>
      </c>
      <c r="AA31" s="1125">
        <f t="shared" si="21"/>
        <v>2592</v>
      </c>
      <c r="AB31" s="1125">
        <f t="shared" si="21"/>
        <v>7568</v>
      </c>
      <c r="AC31" s="1125">
        <f t="shared" si="21"/>
        <v>3074</v>
      </c>
      <c r="AD31" s="1125">
        <f t="shared" si="21"/>
        <v>0</v>
      </c>
      <c r="AE31" s="1127">
        <f t="shared" si="21"/>
        <v>0</v>
      </c>
      <c r="AF31" s="1128">
        <f t="shared" si="21"/>
        <v>0</v>
      </c>
      <c r="AG31" s="1129">
        <f t="shared" si="21"/>
        <v>0</v>
      </c>
      <c r="AH31" s="1127">
        <f t="shared" si="21"/>
        <v>0</v>
      </c>
      <c r="AI31" s="1117">
        <f t="shared" si="21"/>
        <v>844</v>
      </c>
      <c r="AJ31" s="1117">
        <f t="shared" si="21"/>
        <v>0</v>
      </c>
      <c r="AK31" s="1127">
        <f t="shared" si="21"/>
        <v>0</v>
      </c>
      <c r="AL31" s="1183">
        <f>IF(ISNUMBER(NºAsuntos!G31/NºAsuntos!E31),NºAsuntos!G31/NºAsuntos!E31," - ")</f>
        <v>0.97680623973727421</v>
      </c>
      <c r="AM31" s="1184">
        <f>IF(ISNUMBER(((NºAsuntos!I31/NºAsuntos!G31)*11)/factor_trimestre),((NºAsuntos!I31/NºAsuntos!G31)*11)/factor_trimestre," - ")</f>
        <v>4.9359109056524479</v>
      </c>
      <c r="AN31" s="1184">
        <f>IF(ISNUMBER('Resol  Asuntos'!D31/NºAsuntos!G31),'Resol  Asuntos'!D31/NºAsuntos!G31," - ")</f>
        <v>0.17734818239125866</v>
      </c>
      <c r="AO31" s="1185">
        <f>IF(ISNUMBER((NºAsuntos!C31+NºAsuntos!E31)/NºAsuntos!G31),(NºAsuntos!C31+NºAsuntos!E31)/NºAsuntos!G31," - ")</f>
        <v>2.6969951670519015</v>
      </c>
      <c r="AP31" s="1186" t="str">
        <f t="shared" si="2"/>
        <v xml:space="preserve"> - </v>
      </c>
      <c r="AQ31" s="1187">
        <f>IF(OR(ISNUMBER(FIND("01",Criterios!A8,1)),ISNUMBER(FIND("02",Criterios!A8,1)),ISNUMBER(FIND("03",Criterios!A8,1)),ISNUMBER(FIND("04",Criterios!A8,1))),(I31-W31+K31)/(F31-K31),(H31-W31+K31)/(F31-K31))</f>
        <v>-1.1547515257192678</v>
      </c>
      <c r="AR31" s="1188">
        <f>IF(ISNUMBER((Datos!P31-Datos!Q31)/(Datos!R31-Datos!P31+Datos!Q31)),(Datos!P31-Datos!Q31)/(Datos!R31-Datos!P31+Datos!Q31)," - ")</f>
        <v>-4.7930557302805384E-2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776.28571428571433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1114.8712332223245</v>
      </c>
      <c r="G33" s="277">
        <f>IF(ISNUMBER(STDEV(G8:G30)),STDEV(G8:G30),"-")</f>
        <v>1170.0916935986561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1220.3259712840977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227.93858822059946</v>
      </c>
      <c r="AJ33" s="276">
        <f t="shared" si="25"/>
        <v>0</v>
      </c>
      <c r="AK33" s="278">
        <f t="shared" si="25"/>
        <v>0</v>
      </c>
      <c r="AL33" s="273">
        <f t="shared" si="25"/>
        <v>3.5422906531163534E-2</v>
      </c>
      <c r="AM33" s="274">
        <f t="shared" si="25"/>
        <v>2.8754702614763441</v>
      </c>
      <c r="AN33" s="274">
        <f t="shared" si="25"/>
        <v>0.12125992095552227</v>
      </c>
      <c r="AO33" s="275">
        <f t="shared" si="25"/>
        <v>0.94747646014767051</v>
      </c>
      <c r="AP33" s="317" t="str">
        <f t="shared" si="25"/>
        <v>-</v>
      </c>
      <c r="AQ33" s="318">
        <f t="shared" si="25"/>
        <v>0.63179417553942707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swPvOjBS0bZtCaZY8+ocx//k5m1wcOhr62lvqgPc1u4Yn2BdL1OGl7Nptr5ih1X5K7Cf3UBdVTK0XlzQWy9qg==" saltValue="6V5WMxw8zKnrwdy5QLlC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GAVA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-4.2105263157894736E-2</v>
      </c>
      <c r="E10" s="393">
        <f>IF(ISNUMBER((Datos!J10-Datos!T10)/Datos!T10),(Datos!J10-Datos!T10)/Datos!T10," - ")</f>
        <v>0.04</v>
      </c>
      <c r="F10" s="393">
        <f>IF(ISNUMBER((Datos!K10-Datos!U10)/Datos!U10),(Datos!K10-Datos!U10)/Datos!U10," - ")</f>
        <v>-0.28947368421052633</v>
      </c>
      <c r="G10" s="394">
        <f>IF(ISNUMBER((Datos!L10-Datos!V10)/Datos!V10),(Datos!L10-Datos!V10)/Datos!V10," - ")</f>
        <v>9.7560975609756101E-2</v>
      </c>
      <c r="H10" s="244">
        <f>IF(ISNUMBER((Datos!M10-Datos!W10)/Datos!W10),(Datos!M10-Datos!W10)/Datos!W10," - ")</f>
        <v>-0.15384615384615385</v>
      </c>
      <c r="I10" s="395">
        <f>IF(ISNUMBER((Tasas!C10-Datos!BE10)/Datos!BE10),(Tasas!C10-Datos!BE10)/Datos!BE10," - ")</f>
        <v>0.54471544715447162</v>
      </c>
      <c r="J10" s="394">
        <f>IF(ISNUMBER((Tasas!D10-Datos!BF10)/Datos!BF10),(Tasas!D10-Datos!BF10)/Datos!BF10," - ")</f>
        <v>0.19088319088319078</v>
      </c>
      <c r="K10" s="396">
        <f>IF(ISNUMBER((Tasas!E10-Datos!BG10)/Datos!BG10),(Tasas!E10-Datos!BG10)/Datos!BG10," - ")</f>
        <v>0.37222222222222212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-5.9500959692898273E-2</v>
      </c>
      <c r="I12" s="395">
        <f>IF(ISNUMBER((Tasas!C12-Datos!BE12)/Datos!BE12),(Tasas!C12-Datos!BE12)/Datos!BE12," - ")</f>
        <v>4.0711331961270497E-2</v>
      </c>
      <c r="J12" s="394">
        <f>IF(ISNUMBER((Tasas!D12-Datos!BF12)/Datos!BF12),(Tasas!D12-Datos!BF12)/Datos!BF12," - ")</f>
        <v>-0.34963164562901788</v>
      </c>
      <c r="K12" s="396">
        <f>IF(ISNUMBER((Tasas!E12-Datos!BG12)/Datos!BG12),(Tasas!E12-Datos!BG12)/Datos!BG12," - ")</f>
        <v>4.9117921334678898E-2</v>
      </c>
      <c r="M12" t="e">
        <f>IF(Monitorios="SI",Datos!CE12,0)</f>
        <v>#REF!</v>
      </c>
      <c r="N12" t="e">
        <f>IF(Monitorios="SI",Datos!CF12,0)</f>
        <v>#REF!</v>
      </c>
      <c r="O12" t="e">
        <f>IF(Monitorios="SI",Datos!CG12,0)</f>
        <v>#REF!</v>
      </c>
      <c r="P12" t="e">
        <f>IF(Monitorios="SI",Datos!CH12,0)</f>
        <v>#REF!</v>
      </c>
      <c r="Q12">
        <f>IF(J_V="SI",0,Datos!AG12)</f>
        <v>122</v>
      </c>
      <c r="R12">
        <f>IF(J_V="SI",0,Datos!AH12)</f>
        <v>59</v>
      </c>
      <c r="S12">
        <f>IF(J_V="SI",0,Datos!AI12)</f>
        <v>46</v>
      </c>
      <c r="T12">
        <f>IF(J_V="SI",0,Datos!AJ12)</f>
        <v>135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-6.1797752808988762E-2</v>
      </c>
      <c r="I14" s="402">
        <f>IF(ISNUMBER((Tasas!C14-Datos!BE14)/Datos!BE14),(Tasas!C14-Datos!BE14)/Datos!BE14," - ")</f>
        <v>4.7098322650763975E-2</v>
      </c>
      <c r="J14" s="400">
        <f>IF(ISNUMBER((Tasas!D14-Datos!BF14)/Datos!BF14),(Tasas!D14-Datos!BF14)/Datos!BF14," - ")</f>
        <v>-0.34291452191545785</v>
      </c>
      <c r="K14" s="403">
        <f>IF(ISNUMBER((Tasas!E14-Datos!BG14)/Datos!BG14),(Tasas!E14-Datos!BG14)/Datos!BG14," - ")</f>
        <v>5.3359303701176572E-2</v>
      </c>
      <c r="M14" t="e">
        <f>IF(Monitorios="SI",Datos!CE14,0)</f>
        <v>#REF!</v>
      </c>
      <c r="N14" t="e">
        <f>IF(Monitorios="SI",Datos!CF14,0)</f>
        <v>#REF!</v>
      </c>
      <c r="O14" t="e">
        <f>IF(Monitorios="SI",Datos!CG14,0)</f>
        <v>#REF!</v>
      </c>
      <c r="P14" t="e">
        <f>IF(Monitorios="SI",Datos!CH14,0)</f>
        <v>#REF!</v>
      </c>
      <c r="Q14">
        <f>IF(J_V="SI",0,Datos!AG14)</f>
        <v>122</v>
      </c>
      <c r="R14">
        <f>IF(J_V="SI",0,Datos!AH14)</f>
        <v>59</v>
      </c>
      <c r="S14">
        <f>IF(J_V="SI",0,Datos!AI14)</f>
        <v>46</v>
      </c>
      <c r="T14">
        <f>IF(J_V="SI",0,Datos!AJ14)</f>
        <v>135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3.8307349665924278E-2</v>
      </c>
      <c r="E17" s="393">
        <f>IF(ISNUMBER(
   IF(D_I="SI",(Datos!J17-Datos!T17)/Datos!T17,(Datos!J17+Datos!AD17-(Datos!T17+Datos!AL17))/(Datos!T17+Datos!AL17))
     ),IF(D_I="SI",(Datos!J17-Datos!T17)/Datos!T17,(Datos!J17+Datos!AD17-(Datos!T17+Datos!AL17))/(Datos!T17+Datos!AL17))," - ")</f>
        <v>0.13921113689095127</v>
      </c>
      <c r="F17" s="393">
        <f>IF(ISNUMBER(
   IF(D_I="SI",(Datos!K17-Datos!U17)/Datos!U17,(Datos!K17+Datos!AE17-(Datos!U17+Datos!AM17))/(Datos!U17+Datos!AM17))
     ),IF(D_I="SI",(Datos!K17-Datos!U17)/Datos!U17,(Datos!K17+Datos!AE17-(Datos!U17+Datos!AM17))/(Datos!U17+Datos!AM17))," - ")</f>
        <v>0.16991908614945264</v>
      </c>
      <c r="G17" s="394">
        <f>IF(ISNUMBER(
   IF(D_I="SI",(Datos!L17-Datos!V17)/Datos!V17,(Datos!L17+Datos!AF17-(Datos!V17+Datos!AN17))/(Datos!V17+Datos!AN17))
     ),IF(D_I="SI",(Datos!L17-Datos!V17)/Datos!V17,(Datos!L17+Datos!AF17-(Datos!V17+Datos!AN17))/(Datos!V17+Datos!AN17))," - ")</f>
        <v>1.0564997703261369E-2</v>
      </c>
      <c r="H17" s="244">
        <f>IF(ISNUMBER((Datos!M17-Datos!W17)/Datos!W17),(Datos!M17-Datos!W17)/Datos!W17," - ")</f>
        <v>8.1168831168831168E-2</v>
      </c>
      <c r="I17" s="395">
        <f>IF(ISNUMBER((Tasas!C17-Datos!BE17)/Datos!BE17),(Tasas!C17-Datos!BE17)/Datos!BE17," - ")</f>
        <v>-0.13620949545380301</v>
      </c>
      <c r="J17" s="394">
        <f>IF(ISNUMBER((Tasas!D17-Datos!BF17)/Datos!BF17),(Tasas!D17-Datos!BF17)/Datos!BF17," - ")</f>
        <v>-7.5860165058700357E-2</v>
      </c>
      <c r="K17" s="396">
        <f>IF(ISNUMBER((Tasas!E17-Datos!BG17)/Datos!BG17),(Tasas!E17-Datos!BG17)/Datos!BG17," - ")</f>
        <v>-7.0254271765663179E-2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0.37209302325581395</v>
      </c>
      <c r="E18" s="393">
        <f>IF(ISNUMBER(
   IF(D_I="SI",(Datos!J18-Datos!T18)/Datos!T18,(Datos!J18+Datos!AD18-(Datos!T18+Datos!AL18))/(Datos!T18+Datos!AL18))
     ),IF(D_I="SI",(Datos!J18-Datos!T18)/Datos!T18,(Datos!J18+Datos!AD18-(Datos!T18+Datos!AL18))/(Datos!T18+Datos!AL18))," - ")</f>
        <v>5.8823529411764705E-3</v>
      </c>
      <c r="F18" s="393">
        <f>IF(ISNUMBER(
   IF(D_I="SI",(Datos!K18-Datos!U18)/Datos!U18,(Datos!K18+Datos!AE18-(Datos!U18+Datos!AM18))/(Datos!U18+Datos!AM18))
     ),IF(D_I="SI",(Datos!K18-Datos!U18)/Datos!U18,(Datos!K18+Datos!AE18-(Datos!U18+Datos!AM18))/(Datos!U18+Datos!AM18))," - ")</f>
        <v>-6.8181818181818177E-2</v>
      </c>
      <c r="G18" s="394">
        <f>IF(ISNUMBER(
   IF(D_I="SI",(Datos!L18-Datos!V18)/Datos!V18,(Datos!L18+Datos!AF18-(Datos!V18+Datos!AN18))/(Datos!V18+Datos!AN18))
     ),IF(D_I="SI",(Datos!L18-Datos!V18)/Datos!V18,(Datos!L18+Datos!AF18-(Datos!V18+Datos!AN18))/(Datos!V18+Datos!AN18))," - ")</f>
        <v>0.44497607655502391</v>
      </c>
      <c r="H18" s="244">
        <f>IF(ISNUMBER((Datos!M18-Datos!W18)/Datos!W18),(Datos!M18-Datos!W18)/Datos!W18," - ")</f>
        <v>0.1111111111111111</v>
      </c>
      <c r="I18" s="395">
        <f>IF(ISNUMBER((Tasas!C18-Datos!BE18)/Datos!BE18),(Tasas!C18-Datos!BE18)/Datos!BE18," - ")</f>
        <v>0.55070603337612334</v>
      </c>
      <c r="J18" s="394">
        <f>IF(ISNUMBER((Tasas!D18-Datos!BF18)/Datos!BF18),(Tasas!D18-Datos!BF18)/Datos!BF18," - ")</f>
        <v>0.1924119241192411</v>
      </c>
      <c r="K18" s="396">
        <f>IF(ISNUMBER((Tasas!E18-Datos!BG18)/Datos!BG18),(Tasas!E18-Datos!BG18)/Datos!BG18," - ")</f>
        <v>0.29895470383275252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6.7479674796747963E-2</v>
      </c>
      <c r="E23" s="399">
        <f>IF(ISNUMBER(
   IF(D_I="SI",(Datos!J23-Datos!T23)/Datos!T23,(Datos!J23+Datos!AD23-(Datos!T23+Datos!AL23))/(Datos!T23+Datos!AL23))
     ),IF(D_I="SI",(Datos!J23-Datos!T23)/Datos!T23,(Datos!J23+Datos!AD23-(Datos!T23+Datos!AL23))/(Datos!T23+Datos!AL23))," - ")</f>
        <v>0.12946236559139784</v>
      </c>
      <c r="F23" s="399">
        <f>IF(ISNUMBER(
   IF(D_I="SI",(Datos!K23-Datos!U23)/Datos!U23,(Datos!K23+Datos!AE23-(Datos!U23+Datos!AM23))/(Datos!U23+Datos!AM23))
     ),IF(D_I="SI",(Datos!K23-Datos!U23)/Datos!U23,(Datos!K23+Datos!AE23-(Datos!U23+Datos!AM23))/(Datos!U23+Datos!AM23))," - ")</f>
        <v>0.15151515151515152</v>
      </c>
      <c r="G23" s="400">
        <f>IF(ISNUMBER(
   IF(D_I="SI",(Datos!L23-Datos!V23)/Datos!V23,(Datos!L23+Datos!AF23-(Datos!V23+Datos!AN23))/(Datos!V23+Datos!AN23))
     ),IF(D_I="SI",(Datos!L23-Datos!V23)/Datos!V23,(Datos!L23+Datos!AF23-(Datos!V23+Datos!AN23))/(Datos!V23+Datos!AN23))," - ")</f>
        <v>4.861693210393965E-2</v>
      </c>
      <c r="H23" s="401">
        <f>IF(ISNUMBER((Datos!M23-Datos!W23)/Datos!W23),(Datos!M23-Datos!W23)/Datos!W23," - ")</f>
        <v>8.2018927444794956E-2</v>
      </c>
      <c r="I23" s="402">
        <f>IF(ISNUMBER((Tasas!C23-Datos!BE23)/Datos!BE23),(Tasas!C23-Datos!BE23)/Datos!BE23," - ")</f>
        <v>-8.9358980014999714E-2</v>
      </c>
      <c r="J23" s="400">
        <f>IF(ISNUMBER((Tasas!D23-Datos!BF23)/Datos!BF23),(Tasas!D23-Datos!BF23)/Datos!BF23," - ")</f>
        <v>-6.0351984061099123E-2</v>
      </c>
      <c r="K23" s="403">
        <f>IF(ISNUMBER((Tasas!E23-Datos!BG23)/Datos!BG23),(Tasas!E23-Datos!BG23)/Datos!BG23," - ")</f>
        <v>-4.6823956442831223E-2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7.8266756939742721E-2</v>
      </c>
      <c r="E31" s="409">
        <f>IF(ISNUMBER(
   IF(J_V="SI",(Datos!J31-Datos!T31)/Datos!T31,(Datos!J31+Datos!Z31-(Datos!T31+Datos!AH31))/(Datos!T31+Datos!AH31))
     ),IF(J_V="SI",(Datos!J31-Datos!T31)/Datos!T31,(Datos!J31+Datos!Z31-(Datos!T31+Datos!AH31))/(Datos!T31+Datos!AH31))," - ")</f>
        <v>0.16055264411624584</v>
      </c>
      <c r="F31" s="409">
        <f>IF(ISNUMBER(
   IF(J_V="SI",(Datos!K31-Datos!U31)/Datos!U31,(Datos!K31+Datos!AA31-(Datos!U31+Datos!AI31))/(Datos!U31+Datos!AI31))
     ),IF(J_V="SI",(Datos!K31-Datos!U31)/Datos!U31,(Datos!K31+Datos!AA31-(Datos!U31+Datos!AI31))/(Datos!U31+Datos!AI31))," - ")</f>
        <v>0.10803259604190919</v>
      </c>
      <c r="G31" s="410">
        <f>IF(ISNUMBER(
   IF(J_V="SI",(Datos!L31-Datos!V31)/Datos!V31,(Datos!L31+Datos!AB31-(Datos!V31+Datos!AJ31))/(Datos!V31+Datos!AJ31))
     ),IF(J_V="SI",(Datos!L31-Datos!V31)/Datos!V31,(Datos!L31+Datos!AB31-(Datos!V31+Datos!AJ31))/(Datos!V31+Datos!AJ31))," - ")</f>
        <v>8.8861076345431791E-2</v>
      </c>
      <c r="H31" s="411">
        <f>IF(ISNUMBER((Datos!M31-Datos!W31)/Datos!W31),(Datos!M31-Datos!W31)/Datos!W31," - ")</f>
        <v>-8.2256169212690956E-3</v>
      </c>
      <c r="I31" s="408">
        <f>IF(ISNUMBER((Tasas!C31-Datos!BE31)/Datos!BE31),(Tasas!C31-Datos!BE31)/Datos!BE31," - ")</f>
        <v>-1.7302306597262222E-2</v>
      </c>
      <c r="J31" s="409">
        <f>IF(ISNUMBER((Tasas!D31-Datos!BF31)/Datos!BF31),(Tasas!D31-Datos!BF31)/Datos!BF31," - ")</f>
        <v>-0.26546726772376478</v>
      </c>
      <c r="K31" s="410">
        <f>IF(ISNUMBER((Tasas!E31-Datos!BG31)/Datos!BG31),(Tasas!E31-Datos!BG31)/Datos!BG31," - ")</f>
        <v>5.1302986093209784E-5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0.18144982316115385</v>
      </c>
      <c r="E33" s="303">
        <f t="shared" si="1"/>
        <v>6.5925463643446106E-2</v>
      </c>
      <c r="F33" s="303">
        <f t="shared" si="1"/>
        <v>0.21598234198879868</v>
      </c>
      <c r="G33" s="304">
        <f t="shared" si="1"/>
        <v>0.19956673454891355</v>
      </c>
      <c r="H33" s="310">
        <f t="shared" si="1"/>
        <v>0.10647911424282031</v>
      </c>
      <c r="I33" s="302">
        <f t="shared" si="1"/>
        <v>0.30904783139539382</v>
      </c>
      <c r="J33" s="303">
        <f t="shared" si="1"/>
        <v>0.24067223106173</v>
      </c>
      <c r="K33" s="304">
        <f t="shared" si="1"/>
        <v>0.18355520785909479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S/G2Amo0X9DgRxMe6/HdWaj4Qor7jEm9Fl7uqNLRIy2xLZ7GB9jR5NetFjBmYRNmrHcN9gIH7yYdBpGOHuJhg==" saltValue="0PHifvc/bo7YpHWqvpN2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